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
    </mc:Choice>
  </mc:AlternateContent>
  <bookViews>
    <workbookView xWindow="0" yWindow="0" windowWidth="25125" windowHeight="13800"/>
  </bookViews>
  <sheets>
    <sheet name="Souhrn" sheetId="29" r:id="rId1"/>
    <sheet name="Lang" sheetId="44" state="hidden" r:id="rId2"/>
    <sheet name="Identifikace budovy" sheetId="30" r:id="rId3"/>
    <sheet name="B-POP1" sheetId="23" r:id="rId4"/>
    <sheet name="B-POP2" sheetId="24" r:id="rId5"/>
    <sheet name="B-POP3" sheetId="25" r:id="rId6"/>
    <sheet name="B-POP4" sheetId="26" r:id="rId7"/>
    <sheet name="B-POP5" sheetId="27" r:id="rId8"/>
    <sheet name="B-POP6" sheetId="28" r:id="rId9"/>
    <sheet name="B-EX1" sheetId="15" r:id="rId10"/>
    <sheet name="B-EX2" sheetId="16" r:id="rId11"/>
    <sheet name="B-EX3" sheetId="18" r:id="rId12"/>
    <sheet name="B-EX4" sheetId="32" r:id="rId13"/>
    <sheet name="B-AD1" sheetId="17" r:id="rId14"/>
    <sheet name="B-AD2" sheetId="31" r:id="rId15"/>
    <sheet name="B-AD3" sheetId="1" r:id="rId16"/>
    <sheet name="B-AD4" sheetId="2" r:id="rId17"/>
    <sheet name="B-AD5" sheetId="33" r:id="rId18"/>
    <sheet name="B-AD6" sheetId="3" r:id="rId19"/>
    <sheet name="B-AD7" sheetId="4" r:id="rId20"/>
    <sheet name="B-AD8" sheetId="5" r:id="rId21"/>
    <sheet name="B-AD9" sheetId="6" r:id="rId22"/>
    <sheet name="B-AD10" sheetId="45" r:id="rId23"/>
    <sheet name="B-GOV1" sheetId="7" r:id="rId24"/>
    <sheet name="B-GOV2" sheetId="8" r:id="rId25"/>
    <sheet name="B-GOV3" sheetId="9" r:id="rId26"/>
    <sheet name="B-GOV4" sheetId="21" r:id="rId27"/>
    <sheet name="Výběr státu" sheetId="43" r:id="rId28"/>
    <sheet name="B-EMI1" sheetId="35" r:id="rId29"/>
    <sheet name="B-EMI2" sheetId="36" r:id="rId30"/>
    <sheet name="B-EMI3" sheetId="37" r:id="rId31"/>
    <sheet name="B-EMI4" sheetId="38" r:id="rId32"/>
    <sheet name="B-EMI5" sheetId="39" r:id="rId33"/>
    <sheet name="B-EMI6" sheetId="41" r:id="rId34"/>
    <sheet name="EF" sheetId="42" state="hidden" r:id="rId35"/>
  </sheets>
  <definedNames>
    <definedName name="_xlnm._FilterDatabase" localSheetId="1" hidden="1">Lang!$A$1:$D$603</definedName>
    <definedName name="_ftn1" localSheetId="24">'B-GOV2'!$A$21</definedName>
    <definedName name="_ftn2" localSheetId="24">'B-GOV2'!$A$22</definedName>
    <definedName name="_ftnref1" localSheetId="24">'B-GOV2'!$C$13</definedName>
    <definedName name="_ftnref2" localSheetId="24">'B-GOV2'!$C$14</definedName>
    <definedName name="ANONE1">Lang!$B$75:$B$76</definedName>
    <definedName name="ANONE2">Lang!$C$75:$C$76</definedName>
    <definedName name="ANONE3">Lang!$D$75:$D$76</definedName>
    <definedName name="ANONECZ">Lang!$B$75:$B$76</definedName>
    <definedName name="Flatroof">Lang!$D$300:$D$303</definedName>
    <definedName name="PalivoE1_1">Lang!$B$345:$B$349</definedName>
    <definedName name="PalivoE1_2">Lang!$C$345:$C$349</definedName>
    <definedName name="PalivoE1_3">Lang!$D$345:$D$349</definedName>
    <definedName name="Pitchedroof">Lang!$D$304:$D$310</definedName>
    <definedName name="Plochástrecha">Lang!$C$300:$C$303</definedName>
    <definedName name="Plochástřecha">Lang!$B$300:$B$303</definedName>
    <definedName name="Šikmástrecha">Lang!$C$304:$C$310</definedName>
    <definedName name="Šikmástřecha">Lang!$B$304:$B$310</definedName>
    <definedName name="typst1">Lang!$B$298:$B$299</definedName>
    <definedName name="typst2">Lang!$C$298:$C$299</definedName>
    <definedName name="typst3">Lang!$D$298:$D$299</definedName>
    <definedName name="ZEME1">Lang!$B$104:$B$110</definedName>
    <definedName name="ZEME2">Lang!$C$104:$C$110</definedName>
    <definedName name="ZEME3">Lang!$D$104:$D$110</definedName>
    <definedName name="Zemef_1">Lang!$B$326:$B$344</definedName>
    <definedName name="Zemef_2">Lang!$C$326:$C$344</definedName>
    <definedName name="Zemef_3">Lang!$D$326:$D$344</definedName>
    <definedName name="Zemef1">Lang!$B$326:$B$344</definedName>
  </definedNames>
  <calcPr calcId="162913"/>
</workbook>
</file>

<file path=xl/calcChain.xml><?xml version="1.0" encoding="utf-8"?>
<calcChain xmlns="http://schemas.openxmlformats.org/spreadsheetml/2006/main">
  <c r="B24" i="36" l="1"/>
  <c r="B23" i="36"/>
  <c r="N7" i="36"/>
  <c r="K9" i="36"/>
  <c r="N9" i="36"/>
  <c r="J10" i="36"/>
  <c r="M10" i="36"/>
  <c r="N10" i="36"/>
  <c r="J11" i="36"/>
  <c r="M11" i="36"/>
  <c r="N11" i="36"/>
  <c r="J12" i="36"/>
  <c r="M12" i="36"/>
  <c r="J13" i="36"/>
  <c r="M13" i="36"/>
  <c r="N13" i="36"/>
  <c r="J14" i="36"/>
  <c r="M14" i="36"/>
  <c r="B24" i="35"/>
  <c r="B23" i="35"/>
  <c r="L1" i="44" l="1"/>
  <c r="I9" i="30" l="1"/>
  <c r="I9" i="26" s="1"/>
  <c r="I8" i="30"/>
  <c r="I8" i="26" s="1"/>
  <c r="A4" i="26"/>
  <c r="I7" i="30"/>
  <c r="I7" i="26" s="1"/>
  <c r="I14" i="30"/>
  <c r="I14" i="26" s="1"/>
  <c r="A4" i="25"/>
  <c r="I13" i="30"/>
  <c r="I13" i="26" s="1"/>
  <c r="I12" i="30"/>
  <c r="I12" i="26" s="1"/>
  <c r="I11" i="30"/>
  <c r="I11" i="26" s="1"/>
  <c r="I10" i="30"/>
  <c r="I10" i="26" s="1"/>
  <c r="A1" i="29"/>
  <c r="A7" i="29"/>
  <c r="B7" i="29"/>
  <c r="B5" i="29"/>
  <c r="A7" i="30"/>
  <c r="A6" i="29"/>
  <c r="A8" i="30"/>
  <c r="B6" i="29"/>
  <c r="A10" i="36"/>
  <c r="J23" i="36"/>
  <c r="A20" i="36"/>
  <c r="A9" i="36"/>
  <c r="J22" i="36"/>
  <c r="J25" i="35"/>
  <c r="J20" i="36"/>
  <c r="A17" i="36"/>
  <c r="A1" i="36"/>
  <c r="J22" i="35"/>
  <c r="J21" i="35"/>
  <c r="A23" i="36"/>
  <c r="A8" i="36"/>
  <c r="J21" i="36"/>
  <c r="J24" i="35"/>
  <c r="A6" i="36"/>
  <c r="J23" i="35"/>
  <c r="B5" i="36"/>
  <c r="E1" i="36"/>
  <c r="A13" i="36"/>
  <c r="B4" i="36"/>
  <c r="A12" i="36"/>
  <c r="A4" i="36"/>
  <c r="A2" i="36"/>
  <c r="J20" i="35"/>
  <c r="A11" i="36"/>
  <c r="J24" i="36"/>
  <c r="J19" i="35"/>
  <c r="D35" i="29"/>
  <c r="B11" i="33"/>
  <c r="D24" i="29" s="1"/>
  <c r="A12" i="26" l="1"/>
  <c r="B8" i="26"/>
  <c r="D13" i="29" s="1"/>
  <c r="A21" i="26"/>
  <c r="A20" i="26"/>
  <c r="A14" i="26"/>
  <c r="D34" i="29"/>
  <c r="N13" i="35"/>
  <c r="N11" i="35"/>
  <c r="N10" i="35"/>
  <c r="N9" i="35"/>
  <c r="N7" i="35"/>
  <c r="N14" i="35"/>
  <c r="K9" i="35"/>
  <c r="L8" i="43"/>
  <c r="C21" i="45" l="1"/>
  <c r="B23" i="37" l="1"/>
  <c r="D36" i="29" s="1"/>
  <c r="B23" i="38"/>
  <c r="D37" i="29" s="1"/>
  <c r="B23" i="39"/>
  <c r="D38" i="29" s="1"/>
  <c r="B23" i="41"/>
  <c r="D39" i="29" s="1"/>
  <c r="B7" i="2" l="1"/>
  <c r="H7" i="2" s="1"/>
  <c r="B11" i="32"/>
  <c r="D19" i="29" s="1"/>
  <c r="B11" i="31"/>
  <c r="D21" i="29" s="1"/>
  <c r="B11" i="17"/>
  <c r="D20" i="29" s="1"/>
  <c r="J5" i="16"/>
  <c r="B8" i="23"/>
  <c r="D10" i="29" s="1"/>
  <c r="B8" i="24"/>
  <c r="D11" i="29" s="1"/>
  <c r="B8" i="25"/>
  <c r="D12" i="29" s="1"/>
  <c r="B8" i="27"/>
  <c r="D14" i="29" s="1"/>
  <c r="B8" i="28"/>
  <c r="D15" i="29" s="1"/>
  <c r="B8" i="3" l="1"/>
  <c r="O40" i="3"/>
  <c r="O39" i="3"/>
  <c r="O38" i="3"/>
  <c r="O37" i="3"/>
  <c r="O36" i="3"/>
  <c r="O35" i="3"/>
  <c r="B13" i="3" l="1"/>
  <c r="D25" i="29" s="1"/>
  <c r="I33" i="43"/>
  <c r="A13" i="4" l="1"/>
  <c r="A5" i="4"/>
  <c r="D9" i="29"/>
  <c r="I34" i="43"/>
  <c r="N8" i="36" s="1"/>
  <c r="N15" i="36" s="1"/>
  <c r="B17" i="36" s="1"/>
  <c r="A7" i="43"/>
  <c r="D3" i="29"/>
  <c r="A39" i="45"/>
  <c r="C33" i="45"/>
  <c r="C26" i="45"/>
  <c r="J13" i="45"/>
  <c r="C32" i="45"/>
  <c r="J20" i="45"/>
  <c r="J12" i="45"/>
  <c r="A38" i="45"/>
  <c r="A32" i="45"/>
  <c r="J19" i="45"/>
  <c r="J11" i="45"/>
  <c r="A31" i="45"/>
  <c r="J10" i="45"/>
  <c r="A29" i="45"/>
  <c r="A26" i="45"/>
  <c r="J15" i="45"/>
  <c r="A34" i="45"/>
  <c r="A15" i="45"/>
  <c r="J14" i="45"/>
  <c r="B38" i="45"/>
  <c r="A33" i="45"/>
  <c r="J18" i="45"/>
  <c r="A36" i="45"/>
  <c r="J16" i="45"/>
  <c r="A11" i="45"/>
  <c r="A17" i="45"/>
  <c r="B34" i="45"/>
  <c r="A37" i="45"/>
  <c r="A30" i="45"/>
  <c r="J17" i="45"/>
  <c r="A18" i="45"/>
  <c r="B9" i="45"/>
  <c r="B11" i="45" s="1"/>
  <c r="D29" i="29" s="1"/>
  <c r="D21" i="45"/>
  <c r="A21" i="45"/>
  <c r="A17" i="16"/>
  <c r="A23" i="45"/>
  <c r="A22" i="45"/>
  <c r="C10" i="3"/>
  <c r="A19" i="45"/>
  <c r="A27" i="45"/>
  <c r="A25" i="45"/>
  <c r="A20" i="45"/>
  <c r="A6" i="45"/>
  <c r="A5" i="45"/>
  <c r="A3" i="45"/>
  <c r="B3" i="45"/>
  <c r="A2" i="45"/>
  <c r="A1" i="45"/>
  <c r="A9" i="45"/>
  <c r="A7" i="45"/>
  <c r="E1" i="45"/>
  <c r="A22" i="21"/>
  <c r="B20" i="9"/>
  <c r="B30" i="8"/>
  <c r="A23" i="37"/>
  <c r="B27" i="7"/>
  <c r="A10" i="6"/>
  <c r="A23" i="38"/>
  <c r="A23" i="41"/>
  <c r="A23" i="39"/>
  <c r="A23" i="35"/>
  <c r="A11" i="17"/>
  <c r="A17" i="1"/>
  <c r="A11" i="31"/>
  <c r="A10" i="5"/>
  <c r="A11" i="32"/>
  <c r="A10" i="4"/>
  <c r="A17" i="2"/>
  <c r="A8" i="32"/>
  <c r="A15" i="16"/>
  <c r="A22" i="16"/>
  <c r="A13" i="3"/>
  <c r="A18" i="18"/>
  <c r="A8" i="27"/>
  <c r="A8" i="26"/>
  <c r="A8" i="25"/>
  <c r="A8" i="23"/>
  <c r="A4" i="23"/>
  <c r="A8" i="28"/>
  <c r="A8" i="24"/>
  <c r="A10" i="15"/>
  <c r="B4" i="39"/>
  <c r="B4" i="37"/>
  <c r="B5" i="41"/>
  <c r="B4" i="38"/>
  <c r="B5" i="39"/>
  <c r="B5" i="38"/>
  <c r="B4" i="41"/>
  <c r="B5" i="37"/>
  <c r="H8" i="6"/>
  <c r="H9" i="6"/>
  <c r="H6" i="6"/>
  <c r="H10" i="6"/>
  <c r="H7" i="6"/>
  <c r="B5" i="2"/>
  <c r="A5" i="2"/>
  <c r="J2" i="2"/>
  <c r="I4" i="1"/>
  <c r="I5" i="2"/>
  <c r="M2" i="2"/>
  <c r="I6" i="2"/>
  <c r="A6" i="2"/>
  <c r="L2" i="2"/>
  <c r="K2" i="2"/>
  <c r="I4" i="2"/>
  <c r="A12" i="35"/>
  <c r="A11" i="35"/>
  <c r="A6" i="38"/>
  <c r="A9" i="35"/>
  <c r="A20" i="41"/>
  <c r="A7" i="39"/>
  <c r="A20" i="37"/>
  <c r="A6" i="35"/>
  <c r="A7" i="41"/>
  <c r="A17" i="39"/>
  <c r="A7" i="37"/>
  <c r="A2" i="39"/>
  <c r="A4" i="41"/>
  <c r="A17" i="38"/>
  <c r="A1" i="37"/>
  <c r="A6" i="37"/>
  <c r="A2" i="41"/>
  <c r="A17" i="37"/>
  <c r="A6" i="39"/>
  <c r="A2" i="38"/>
  <c r="A20" i="39"/>
  <c r="A13" i="35"/>
  <c r="A7" i="38"/>
  <c r="A2" i="37"/>
  <c r="A20" i="38"/>
  <c r="A6" i="41"/>
  <c r="A4" i="39"/>
  <c r="A17" i="41"/>
  <c r="A10" i="35"/>
  <c r="A8" i="35"/>
  <c r="A4" i="35"/>
  <c r="B4" i="35"/>
  <c r="A20" i="35"/>
  <c r="B5" i="35"/>
  <c r="A17" i="35"/>
  <c r="A1" i="35"/>
  <c r="A19" i="21"/>
  <c r="A2" i="35"/>
  <c r="A4" i="38"/>
  <c r="A4" i="37"/>
  <c r="C16" i="21"/>
  <c r="P8" i="21"/>
  <c r="A11" i="21"/>
  <c r="B17" i="9"/>
  <c r="C12" i="9"/>
  <c r="B7" i="9"/>
  <c r="D5" i="8"/>
  <c r="C18" i="8"/>
  <c r="C10" i="8"/>
  <c r="B16" i="8"/>
  <c r="B8" i="8"/>
  <c r="A3" i="5"/>
  <c r="E1" i="21"/>
  <c r="E1" i="4"/>
  <c r="A6" i="3"/>
  <c r="A11" i="2"/>
  <c r="I6" i="1"/>
  <c r="P15" i="21"/>
  <c r="P7" i="21"/>
  <c r="A10" i="21"/>
  <c r="A4" i="21"/>
  <c r="C11" i="9"/>
  <c r="B8" i="9"/>
  <c r="C5" i="9"/>
  <c r="C17" i="8"/>
  <c r="C9" i="8"/>
  <c r="B15" i="8"/>
  <c r="B24" i="7"/>
  <c r="E1" i="41"/>
  <c r="E1" i="9"/>
  <c r="H19" i="5"/>
  <c r="A2" i="5"/>
  <c r="A5" i="3"/>
  <c r="A10" i="2"/>
  <c r="A7" i="1"/>
  <c r="I5" i="1"/>
  <c r="A2" i="18"/>
  <c r="P9" i="21"/>
  <c r="C19" i="8"/>
  <c r="F1" i="43"/>
  <c r="A2" i="17"/>
  <c r="P14" i="21"/>
  <c r="P6" i="21"/>
  <c r="A9" i="21"/>
  <c r="A1" i="21"/>
  <c r="C10" i="9"/>
  <c r="B9" i="9"/>
  <c r="C6" i="8"/>
  <c r="C16" i="8"/>
  <c r="C8" i="8"/>
  <c r="B14" i="8"/>
  <c r="B1" i="8"/>
  <c r="H5" i="6"/>
  <c r="E1" i="39"/>
  <c r="E1" i="8"/>
  <c r="H18" i="5"/>
  <c r="A5" i="33"/>
  <c r="A9" i="2"/>
  <c r="A11" i="1"/>
  <c r="A5" i="17"/>
  <c r="B26" i="8"/>
  <c r="B9" i="8"/>
  <c r="A1" i="5"/>
  <c r="A5" i="1"/>
  <c r="P13" i="21"/>
  <c r="B5" i="21"/>
  <c r="A8" i="21"/>
  <c r="A2" i="21"/>
  <c r="C9" i="9"/>
  <c r="B10" i="9"/>
  <c r="A5" i="9"/>
  <c r="C15" i="8"/>
  <c r="C7" i="8"/>
  <c r="B13" i="8"/>
  <c r="B2" i="8"/>
  <c r="E1" i="6"/>
  <c r="E1" i="38"/>
  <c r="E1" i="7"/>
  <c r="H17" i="5"/>
  <c r="A4" i="4"/>
  <c r="A2" i="3"/>
  <c r="A8" i="2"/>
  <c r="A10" i="1"/>
  <c r="A5" i="31"/>
  <c r="A2" i="1"/>
  <c r="A12" i="21"/>
  <c r="C11" i="8"/>
  <c r="A7" i="5"/>
  <c r="A14" i="1"/>
  <c r="P12" i="21"/>
  <c r="A15" i="21"/>
  <c r="A7" i="21"/>
  <c r="C8" i="9"/>
  <c r="B11" i="9"/>
  <c r="B6" i="8"/>
  <c r="C14" i="8"/>
  <c r="B7" i="8"/>
  <c r="B12" i="8"/>
  <c r="B2" i="7"/>
  <c r="E1" i="37"/>
  <c r="H16" i="5"/>
  <c r="A4" i="3"/>
  <c r="A2" i="33"/>
  <c r="A7" i="2"/>
  <c r="A9" i="1"/>
  <c r="D4" i="9"/>
  <c r="A7" i="3"/>
  <c r="A2" i="32"/>
  <c r="P11" i="21"/>
  <c r="A14" i="21"/>
  <c r="A6" i="21"/>
  <c r="C7" i="9"/>
  <c r="B12" i="9"/>
  <c r="A6" i="8"/>
  <c r="C13" i="8"/>
  <c r="B19" i="8"/>
  <c r="B11" i="8"/>
  <c r="E1" i="5"/>
  <c r="H15" i="5"/>
  <c r="A2" i="4"/>
  <c r="A3" i="2"/>
  <c r="A8" i="1"/>
  <c r="A2" i="31"/>
  <c r="B6" i="9"/>
  <c r="P10" i="21"/>
  <c r="A13" i="21"/>
  <c r="A5" i="21"/>
  <c r="C6" i="9"/>
  <c r="B5" i="9"/>
  <c r="B2" i="9"/>
  <c r="C12" i="8"/>
  <c r="B18" i="8"/>
  <c r="B10" i="8"/>
  <c r="E1" i="35"/>
  <c r="A2" i="6"/>
  <c r="H14" i="5"/>
  <c r="A10" i="3"/>
  <c r="C6" i="2"/>
  <c r="A4" i="1"/>
  <c r="A6" i="1"/>
  <c r="B17" i="8"/>
  <c r="A3" i="6"/>
  <c r="A2" i="2"/>
  <c r="A6" i="30"/>
  <c r="B22" i="7"/>
  <c r="H14" i="7"/>
  <c r="H6" i="7"/>
  <c r="B13" i="7"/>
  <c r="B5" i="7"/>
  <c r="A1" i="38"/>
  <c r="A5" i="29"/>
  <c r="B16" i="7"/>
  <c r="A8" i="17"/>
  <c r="H16" i="7"/>
  <c r="B7" i="7"/>
  <c r="A1" i="41"/>
  <c r="H7" i="7"/>
  <c r="B6" i="7"/>
  <c r="A1" i="39"/>
  <c r="A1" i="6"/>
  <c r="B4" i="7"/>
  <c r="H13" i="7"/>
  <c r="B20" i="7"/>
  <c r="B12" i="7"/>
  <c r="C5" i="7"/>
  <c r="A8" i="33"/>
  <c r="A6" i="43"/>
  <c r="A1" i="4"/>
  <c r="A5" i="43"/>
  <c r="A1" i="3"/>
  <c r="A8" i="31"/>
  <c r="A5" i="32"/>
  <c r="A1" i="2"/>
  <c r="H9" i="7"/>
  <c r="A7" i="6"/>
  <c r="H8" i="7"/>
  <c r="A7" i="4"/>
  <c r="A1" i="43"/>
  <c r="H20" i="7"/>
  <c r="H12" i="7"/>
  <c r="B19" i="7"/>
  <c r="B11" i="7"/>
  <c r="B1" i="7"/>
  <c r="A14" i="2"/>
  <c r="A1" i="18"/>
  <c r="H19" i="7"/>
  <c r="H11" i="7"/>
  <c r="B18" i="7"/>
  <c r="B10" i="7"/>
  <c r="A15" i="18"/>
  <c r="A1" i="33"/>
  <c r="H10" i="7"/>
  <c r="B17" i="7"/>
  <c r="B9" i="7"/>
  <c r="B1" i="9"/>
  <c r="H17" i="7"/>
  <c r="B8" i="7"/>
  <c r="A11" i="18"/>
  <c r="A1" i="1"/>
  <c r="B15" i="7"/>
  <c r="A1" i="17"/>
  <c r="B14" i="7"/>
  <c r="H18" i="7"/>
  <c r="H15" i="7"/>
  <c r="J8" i="18"/>
  <c r="A7" i="18"/>
  <c r="J7" i="18"/>
  <c r="A6" i="18"/>
  <c r="J6" i="18"/>
  <c r="A4" i="16"/>
  <c r="A4" i="18"/>
  <c r="J11" i="18"/>
  <c r="A10" i="18"/>
  <c r="J10" i="18"/>
  <c r="A9" i="18"/>
  <c r="J9" i="18"/>
  <c r="A8" i="18"/>
  <c r="C14" i="29"/>
  <c r="A2" i="16"/>
  <c r="J12" i="16"/>
  <c r="J8" i="16"/>
  <c r="J11" i="16"/>
  <c r="J7" i="16"/>
  <c r="J10" i="16"/>
  <c r="J13" i="16"/>
  <c r="J9" i="16"/>
  <c r="J15" i="16"/>
  <c r="J14" i="16"/>
  <c r="A2" i="15"/>
  <c r="G15" i="15"/>
  <c r="A1" i="15"/>
  <c r="G14" i="15"/>
  <c r="A19" i="16"/>
  <c r="A7" i="15"/>
  <c r="G16" i="15"/>
  <c r="A3" i="15"/>
  <c r="G18" i="15"/>
  <c r="G17" i="15"/>
  <c r="A13" i="16"/>
  <c r="A11" i="16"/>
  <c r="A7" i="16"/>
  <c r="E1" i="33"/>
  <c r="E1" i="17"/>
  <c r="E1" i="15"/>
  <c r="E1" i="25"/>
  <c r="A1" i="30"/>
  <c r="A2" i="25"/>
  <c r="A1" i="27"/>
  <c r="A1" i="25"/>
  <c r="A14" i="16"/>
  <c r="E1" i="18"/>
  <c r="E1" i="23"/>
  <c r="A1" i="28"/>
  <c r="A1" i="24"/>
  <c r="A12" i="16"/>
  <c r="E1" i="3"/>
  <c r="E1" i="16"/>
  <c r="E1" i="30"/>
  <c r="A4" i="27"/>
  <c r="A1" i="16"/>
  <c r="A10" i="16"/>
  <c r="A6" i="16"/>
  <c r="E1" i="2"/>
  <c r="E1" i="32"/>
  <c r="E1" i="28"/>
  <c r="E1" i="24"/>
  <c r="A2" i="28"/>
  <c r="A4" i="28"/>
  <c r="A4" i="24"/>
  <c r="A9" i="16"/>
  <c r="E1" i="1"/>
  <c r="E1" i="27"/>
  <c r="A2" i="27"/>
  <c r="A1" i="26"/>
  <c r="A8" i="16"/>
  <c r="E1" i="31"/>
  <c r="E1" i="26"/>
  <c r="A2" i="26"/>
  <c r="A5" i="30"/>
  <c r="A4" i="30"/>
  <c r="A2" i="24"/>
  <c r="A2" i="23"/>
  <c r="A1" i="23"/>
  <c r="B18" i="29"/>
  <c r="A1" i="31"/>
  <c r="A1" i="32"/>
  <c r="C24" i="29"/>
  <c r="C12" i="29"/>
  <c r="C20" i="29"/>
  <c r="C15" i="29"/>
  <c r="C16" i="29"/>
  <c r="C13" i="29"/>
  <c r="C21" i="29"/>
  <c r="C19" i="29"/>
  <c r="B20" i="29"/>
  <c r="B28" i="29"/>
  <c r="B36" i="29"/>
  <c r="B4" i="29"/>
  <c r="B21" i="29"/>
  <c r="B25" i="29"/>
  <c r="B29" i="29"/>
  <c r="B33" i="29"/>
  <c r="B37" i="29"/>
  <c r="C10" i="29"/>
  <c r="B22" i="29"/>
  <c r="B26" i="29"/>
  <c r="B30" i="29"/>
  <c r="B34" i="29"/>
  <c r="B38" i="29"/>
  <c r="C11" i="29"/>
  <c r="B24" i="29"/>
  <c r="B32" i="29"/>
  <c r="B19" i="29"/>
  <c r="B23" i="29"/>
  <c r="B27" i="29"/>
  <c r="B31" i="29"/>
  <c r="B35" i="29"/>
  <c r="B39" i="29"/>
  <c r="B16" i="29"/>
  <c r="B12" i="29"/>
  <c r="B3" i="29"/>
  <c r="A9" i="29"/>
  <c r="E9" i="29"/>
  <c r="B13" i="29"/>
  <c r="B17" i="29"/>
  <c r="A3" i="29"/>
  <c r="C9" i="29"/>
  <c r="B11" i="29"/>
  <c r="B15" i="29"/>
  <c r="A4" i="29"/>
  <c r="B9" i="29"/>
  <c r="B10" i="29"/>
  <c r="B14" i="29"/>
  <c r="B17" i="37" l="1"/>
  <c r="N8" i="35"/>
  <c r="N15" i="35" s="1"/>
  <c r="B17" i="35" s="1"/>
  <c r="A12" i="43"/>
  <c r="K22" i="45"/>
  <c r="B25" i="45" s="1"/>
  <c r="B27" i="45" s="1"/>
  <c r="C7" i="6"/>
  <c r="B10" i="6" s="1"/>
  <c r="D28" i="29" s="1"/>
  <c r="C7" i="5"/>
  <c r="B10" i="5" s="1"/>
  <c r="D27" i="29" s="1"/>
  <c r="B7" i="5"/>
  <c r="B7" i="6"/>
  <c r="B7" i="15"/>
  <c r="B10" i="15"/>
  <c r="D16" i="29" s="1"/>
  <c r="J20" i="15"/>
  <c r="J6" i="16" s="1"/>
  <c r="C36" i="29" l="1"/>
  <c r="J10" i="35"/>
  <c r="J11" i="35"/>
  <c r="J13" i="35"/>
  <c r="J12" i="35"/>
  <c r="J14" i="35"/>
  <c r="B37" i="45"/>
  <c r="B39" i="45" s="1"/>
  <c r="C34" i="45"/>
  <c r="C39" i="45"/>
  <c r="C28" i="29"/>
  <c r="C27" i="29"/>
  <c r="J6" i="32" l="1"/>
  <c r="J7" i="32"/>
  <c r="J9" i="32"/>
  <c r="J10" i="32"/>
  <c r="J8" i="32"/>
  <c r="B8" i="32" l="1"/>
  <c r="J10" i="33"/>
  <c r="J9" i="33"/>
  <c r="J8" i="33"/>
  <c r="J7" i="33"/>
  <c r="J6" i="33"/>
  <c r="J10" i="31"/>
  <c r="J9" i="31"/>
  <c r="J8" i="31"/>
  <c r="J7" i="31"/>
  <c r="J6" i="31"/>
  <c r="J10" i="17"/>
  <c r="J9" i="17"/>
  <c r="J8" i="17"/>
  <c r="J7" i="17"/>
  <c r="J6" i="17"/>
  <c r="B8" i="33" l="1"/>
  <c r="B8" i="31"/>
  <c r="B8" i="17"/>
  <c r="K9" i="41"/>
  <c r="K9" i="39"/>
  <c r="K9" i="38"/>
  <c r="K9" i="37"/>
  <c r="C38" i="29" l="1"/>
  <c r="C39" i="29"/>
  <c r="C37" i="29"/>
  <c r="C35" i="29"/>
  <c r="M14" i="37" l="1"/>
  <c r="M13" i="37"/>
  <c r="M12" i="37"/>
  <c r="M11" i="37"/>
  <c r="M10" i="37"/>
  <c r="M14" i="39"/>
  <c r="M13" i="39"/>
  <c r="M12" i="39"/>
  <c r="M11" i="39"/>
  <c r="M10" i="39"/>
  <c r="M14" i="41"/>
  <c r="M13" i="41"/>
  <c r="M12" i="41"/>
  <c r="M11" i="41"/>
  <c r="M10" i="41"/>
  <c r="J14" i="38"/>
  <c r="J12" i="41" l="1"/>
  <c r="J13" i="41"/>
  <c r="J10" i="41"/>
  <c r="J14" i="41"/>
  <c r="J11" i="41"/>
  <c r="J12" i="39"/>
  <c r="J13" i="39"/>
  <c r="J10" i="39"/>
  <c r="J14" i="39"/>
  <c r="J11" i="39"/>
  <c r="J12" i="38"/>
  <c r="J10" i="38"/>
  <c r="J13" i="38"/>
  <c r="J11" i="38"/>
  <c r="J10" i="37"/>
  <c r="J12" i="37"/>
  <c r="J13" i="37"/>
  <c r="J14" i="37"/>
  <c r="J11" i="37"/>
  <c r="C34" i="29"/>
  <c r="B17" i="41" l="1"/>
  <c r="B17" i="38"/>
  <c r="O32" i="3" l="1"/>
  <c r="O31" i="3"/>
  <c r="O30" i="3"/>
  <c r="O29" i="3"/>
  <c r="O28" i="3"/>
  <c r="P16" i="21" l="1"/>
  <c r="C19" i="21" l="1"/>
  <c r="B22" i="21" s="1"/>
  <c r="D33" i="29" s="1"/>
  <c r="T10" i="21"/>
  <c r="T6" i="21"/>
  <c r="T9" i="21"/>
  <c r="T7" i="21"/>
  <c r="T8" i="21"/>
  <c r="C33" i="29" l="1"/>
  <c r="B19" i="21"/>
  <c r="C5" i="16" l="1"/>
  <c r="J16" i="16"/>
  <c r="J12" i="18"/>
  <c r="B15" i="18" s="1"/>
  <c r="B18" i="18" s="1"/>
  <c r="D18" i="29" s="1"/>
  <c r="C5" i="18"/>
  <c r="J7" i="4"/>
  <c r="K7" i="4"/>
  <c r="E30" i="29"/>
  <c r="I10" i="2"/>
  <c r="B8" i="2"/>
  <c r="H8" i="2" s="1"/>
  <c r="O44" i="3"/>
  <c r="O43" i="3"/>
  <c r="R28" i="3" s="1"/>
  <c r="R29" i="3" s="1"/>
  <c r="J13" i="9"/>
  <c r="K12" i="9"/>
  <c r="K11" i="9"/>
  <c r="K10" i="9"/>
  <c r="K9" i="9"/>
  <c r="K8" i="9"/>
  <c r="K7" i="9"/>
  <c r="K6" i="9"/>
  <c r="J19" i="8"/>
  <c r="J18" i="8"/>
  <c r="J17" i="8"/>
  <c r="J16" i="8"/>
  <c r="J15" i="8"/>
  <c r="J14" i="8"/>
  <c r="J13" i="8"/>
  <c r="J12" i="8"/>
  <c r="J11" i="8"/>
  <c r="J10" i="8"/>
  <c r="J9" i="8"/>
  <c r="J8" i="8"/>
  <c r="J7" i="8"/>
  <c r="I20" i="8"/>
  <c r="K6" i="4"/>
  <c r="J6" i="4"/>
  <c r="K5" i="4"/>
  <c r="J5" i="4"/>
  <c r="I8" i="2"/>
  <c r="I7" i="2"/>
  <c r="B10" i="2"/>
  <c r="H10" i="2" s="1"/>
  <c r="B9" i="2"/>
  <c r="B11" i="1"/>
  <c r="B19" i="16" l="1"/>
  <c r="C17" i="29" s="1"/>
  <c r="B22" i="16"/>
  <c r="D17" i="29" s="1"/>
  <c r="B10" i="3"/>
  <c r="O4" i="2"/>
  <c r="F8" i="2"/>
  <c r="O5" i="2"/>
  <c r="C11" i="1"/>
  <c r="F10" i="2"/>
  <c r="O7" i="2"/>
  <c r="F7" i="2"/>
  <c r="H21" i="7"/>
  <c r="D24" i="7" s="1"/>
  <c r="C27" i="7" s="1"/>
  <c r="D30" i="29" s="1"/>
  <c r="K13" i="9"/>
  <c r="K15" i="9" s="1"/>
  <c r="R4" i="9" s="1"/>
  <c r="J20" i="8"/>
  <c r="J22" i="8" s="1"/>
  <c r="Q6" i="8" s="1"/>
  <c r="N8" i="4"/>
  <c r="B7" i="4" s="1"/>
  <c r="B11" i="2"/>
  <c r="D6" i="2" s="1"/>
  <c r="D17" i="9" l="1"/>
  <c r="C20" i="9" s="1"/>
  <c r="D32" i="29" s="1"/>
  <c r="C30" i="29"/>
  <c r="D12" i="2"/>
  <c r="E23" i="29" s="1"/>
  <c r="B12" i="2"/>
  <c r="D26" i="8"/>
  <c r="C30" i="8" s="1"/>
  <c r="D31" i="29" s="1"/>
  <c r="C7" i="4"/>
  <c r="B10" i="4" s="1"/>
  <c r="D26" i="29" s="1"/>
  <c r="C25" i="29"/>
  <c r="I1" i="2"/>
  <c r="C6" i="1"/>
  <c r="C7" i="1"/>
  <c r="C8" i="1"/>
  <c r="C9" i="1"/>
  <c r="C10" i="1"/>
  <c r="C18" i="29"/>
  <c r="K9" i="7"/>
  <c r="K10" i="7"/>
  <c r="K6" i="7"/>
  <c r="K7" i="7"/>
  <c r="K8" i="7"/>
  <c r="R8" i="9"/>
  <c r="R7" i="9"/>
  <c r="R6" i="9"/>
  <c r="R5" i="9"/>
  <c r="C17" i="9" s="1"/>
  <c r="Q10" i="8"/>
  <c r="Q9" i="8"/>
  <c r="Q8" i="8"/>
  <c r="Q7" i="8"/>
  <c r="C26" i="8" s="1"/>
  <c r="C32" i="29" l="1"/>
  <c r="C31" i="29"/>
  <c r="D9" i="2"/>
  <c r="C26" i="29"/>
  <c r="D10" i="2"/>
  <c r="D7" i="2"/>
  <c r="D8" i="2"/>
  <c r="I12" i="1"/>
  <c r="C14" i="1" s="1"/>
  <c r="B17" i="1" s="1"/>
  <c r="D22" i="29" s="1"/>
  <c r="C24" i="7"/>
  <c r="K14" i="2" l="1"/>
  <c r="K12" i="2"/>
  <c r="K15" i="2"/>
  <c r="K16" i="2"/>
  <c r="K13" i="2"/>
  <c r="K12" i="1"/>
  <c r="K13" i="1" s="1"/>
  <c r="K14" i="1" s="1"/>
  <c r="K17" i="2" l="1"/>
  <c r="K15" i="1"/>
  <c r="K16" i="1" s="1"/>
  <c r="K17" i="1" s="1"/>
  <c r="I2" i="2" l="1"/>
  <c r="C14" i="2"/>
  <c r="B14" i="2"/>
  <c r="B14" i="1"/>
  <c r="C22" i="29" s="1"/>
  <c r="B17" i="2" l="1"/>
  <c r="D23" i="29" s="1"/>
  <c r="C23" i="29"/>
  <c r="E33" i="29"/>
</calcChain>
</file>

<file path=xl/sharedStrings.xml><?xml version="1.0" encoding="utf-8"?>
<sst xmlns="http://schemas.openxmlformats.org/spreadsheetml/2006/main" count="2113" uniqueCount="1590">
  <si>
    <t>&gt; 75 %</t>
  </si>
  <si>
    <t>Tabulka A</t>
  </si>
  <si>
    <t>5 (E)</t>
  </si>
  <si>
    <t>4 (D)</t>
  </si>
  <si>
    <t>3 (C)</t>
  </si>
  <si>
    <t>2 (B)</t>
  </si>
  <si>
    <t>1 (A)</t>
  </si>
  <si>
    <t>0 – 10%</t>
  </si>
  <si>
    <t>10 – 25%</t>
  </si>
  <si>
    <t>26– 50%</t>
  </si>
  <si>
    <t>51 – 70 %</t>
  </si>
  <si>
    <t>76 – 100 %</t>
  </si>
  <si>
    <t>-</t>
  </si>
  <si>
    <t>0 – 5 %</t>
  </si>
  <si>
    <t>5 – 20 %</t>
  </si>
  <si>
    <t>21 – 40 %</t>
  </si>
  <si>
    <t>40 – 60 %</t>
  </si>
  <si>
    <t>61 – 80 %</t>
  </si>
  <si>
    <t>81 – 100 %</t>
  </si>
  <si>
    <t>&lt; 25 %</t>
  </si>
  <si>
    <t>&gt; 25 %</t>
  </si>
  <si>
    <t>25 – 75 %</t>
  </si>
  <si>
    <t>X</t>
  </si>
  <si>
    <t>Technologie</t>
  </si>
  <si>
    <t>Hodnotenie</t>
  </si>
  <si>
    <t>Parameter</t>
  </si>
  <si>
    <t>&lt;= 3</t>
  </si>
  <si>
    <t>&gt;= 16</t>
  </si>
  <si>
    <t>A</t>
  </si>
  <si>
    <t>B</t>
  </si>
  <si>
    <t>C</t>
  </si>
  <si>
    <t>G</t>
  </si>
  <si>
    <t>H</t>
  </si>
  <si>
    <t>CH</t>
  </si>
  <si>
    <t>J</t>
  </si>
  <si>
    <t>K</t>
  </si>
  <si>
    <t>L</t>
  </si>
  <si>
    <t>P</t>
  </si>
  <si>
    <t>Q</t>
  </si>
  <si>
    <t>R</t>
  </si>
  <si>
    <t>S</t>
  </si>
  <si>
    <t>Koeficient (k)</t>
  </si>
  <si>
    <r>
      <t>[m</t>
    </r>
    <r>
      <rPr>
        <vertAlign val="superscript"/>
        <sz val="11"/>
        <color rgb="FF000000"/>
        <rFont val="Calibri"/>
        <family val="2"/>
        <charset val="238"/>
        <scheme val="minor"/>
      </rPr>
      <t>2</t>
    </r>
    <r>
      <rPr>
        <sz val="11"/>
        <color rgb="FF000000"/>
        <rFont val="Calibri"/>
        <family val="2"/>
        <charset val="238"/>
        <scheme val="minor"/>
      </rPr>
      <t>]</t>
    </r>
  </si>
  <si>
    <t>Funkcia MZI</t>
  </si>
  <si>
    <t>fMZI=k*S</t>
  </si>
  <si>
    <t>výmera CELKOM</t>
  </si>
  <si>
    <t>výmera MZI</t>
  </si>
  <si>
    <t>&lt;= 0,2</t>
  </si>
  <si>
    <t>&gt; 0,2 &lt; = 0,3</t>
  </si>
  <si>
    <t>&gt; 0,3 &lt; = 0,6</t>
  </si>
  <si>
    <t>&gt; 0,6 &lt; = 0,8</t>
  </si>
  <si>
    <t>&gt; 0,8</t>
  </si>
  <si>
    <t>XX</t>
  </si>
  <si>
    <t>D</t>
  </si>
  <si>
    <t>E1</t>
  </si>
  <si>
    <t>E2</t>
  </si>
  <si>
    <t>F</t>
  </si>
  <si>
    <t>Y </t>
  </si>
  <si>
    <t>Z</t>
  </si>
  <si>
    <r>
      <t>m</t>
    </r>
    <r>
      <rPr>
        <vertAlign val="superscript"/>
        <sz val="11"/>
        <color rgb="FF000000"/>
        <rFont val="Calibri"/>
        <family val="2"/>
        <charset val="238"/>
        <scheme val="minor"/>
      </rPr>
      <t>2</t>
    </r>
  </si>
  <si>
    <t>Y</t>
  </si>
  <si>
    <t>&gt; 0 &lt; = 0,1</t>
  </si>
  <si>
    <t>&gt; 0,1 &lt; = 0,3</t>
  </si>
  <si>
    <t>&gt; 0,3 &lt; = 0,5</t>
  </si>
  <si>
    <t>&gt; 0,5</t>
  </si>
  <si>
    <t>0 - 2</t>
  </si>
  <si>
    <t>%</t>
  </si>
  <si>
    <t>kMZI</t>
  </si>
  <si>
    <t>St</t>
  </si>
  <si>
    <t>Pasivní chlazení (prostřednictvím nízkoteplotních okruhů na konstrukci)</t>
  </si>
  <si>
    <t>Větrací systém s rekuperací tepla (s bypassem)</t>
  </si>
  <si>
    <t>Větrací systém s integrovaným chladičem</t>
  </si>
  <si>
    <t>Větrací systém se zemním výměníkem</t>
  </si>
  <si>
    <t>Klimatizační zařízení (dělená klimatizace)</t>
  </si>
  <si>
    <t>ANO/NE</t>
  </si>
  <si>
    <t>Ext</t>
  </si>
  <si>
    <t>Int</t>
  </si>
  <si>
    <t>B-POP1</t>
  </si>
  <si>
    <t>B-POP2</t>
  </si>
  <si>
    <t>B-POP3</t>
  </si>
  <si>
    <t>B-POP4</t>
  </si>
  <si>
    <t>B-POP5</t>
  </si>
  <si>
    <t>B-POP6</t>
  </si>
  <si>
    <t>B-EX1</t>
  </si>
  <si>
    <t>B-EX2</t>
  </si>
  <si>
    <t>B-EX3</t>
  </si>
  <si>
    <t>B-EX4</t>
  </si>
  <si>
    <t>B-AD1</t>
  </si>
  <si>
    <t>B-AD2</t>
  </si>
  <si>
    <t>B-AD3</t>
  </si>
  <si>
    <t>B-AD4</t>
  </si>
  <si>
    <t>B-AD5</t>
  </si>
  <si>
    <t>B-AD6</t>
  </si>
  <si>
    <t>B-AD7</t>
  </si>
  <si>
    <t>B-AD8</t>
  </si>
  <si>
    <t>B-AD9</t>
  </si>
  <si>
    <t>B-AD10</t>
  </si>
  <si>
    <t>B-GOV1</t>
  </si>
  <si>
    <t>B-GOV2</t>
  </si>
  <si>
    <t>B-GOV3</t>
  </si>
  <si>
    <t>B-GOV4</t>
  </si>
  <si>
    <t>---</t>
  </si>
  <si>
    <t>kWh</t>
  </si>
  <si>
    <t>Vyberte ze seznamu</t>
  </si>
  <si>
    <t>E</t>
  </si>
  <si>
    <t>0-600</t>
  </si>
  <si>
    <t>601-1200</t>
  </si>
  <si>
    <t>1201 - 1800</t>
  </si>
  <si>
    <t>1801-2400</t>
  </si>
  <si>
    <t>0-400</t>
  </si>
  <si>
    <t>401-800</t>
  </si>
  <si>
    <t>801 - 1400</t>
  </si>
  <si>
    <t>1401-2000</t>
  </si>
  <si>
    <t>2001-více</t>
  </si>
  <si>
    <t>601 a více</t>
  </si>
  <si>
    <t>401-600</t>
  </si>
  <si>
    <t>201-400</t>
  </si>
  <si>
    <t>1-200</t>
  </si>
  <si>
    <t>t</t>
  </si>
  <si>
    <t>0-50</t>
  </si>
  <si>
    <t>51-100</t>
  </si>
  <si>
    <t>101-150</t>
  </si>
  <si>
    <t>151-200</t>
  </si>
  <si>
    <t>250-více</t>
  </si>
  <si>
    <t>B-EMI1</t>
  </si>
  <si>
    <t>B-EMI2</t>
  </si>
  <si>
    <t>B-EMI3</t>
  </si>
  <si>
    <t>B-EMI4</t>
  </si>
  <si>
    <t>B-EMI5</t>
  </si>
  <si>
    <t>B-EMI6</t>
  </si>
  <si>
    <t>2 (C)</t>
  </si>
  <si>
    <t>Technologie / Technológia / Technology</t>
  </si>
  <si>
    <t>Hodnota Value</t>
  </si>
  <si>
    <t>pasivní chlazení (prostřednictvím nízkoteplotních okruhů v konstrukci) pasívne chladenie (prostredníctvom nízkoteplotných okruhov v konštrukcii) passive cooling (via low temperature circuits in the structure)</t>
  </si>
  <si>
    <t>větrací systém s rekuperací tepla (s bypassem)                                                       vetrací systém s rekuperáciou tepla (s bypassom)                                            ventilation system with heat recuperation (with bypass)</t>
  </si>
  <si>
    <t>větrací systém s integrovaným chladičem                                                             vetrací systém s integrovaným chladičom                                                            ventilation system with integrated cooler</t>
  </si>
  <si>
    <t>větrací systém se zemním výměníkem                                                                       vetrací systém so zemným výmenníkom                                                              ventilation system with ground heat exchanger</t>
  </si>
  <si>
    <t>východ / east</t>
  </si>
  <si>
    <t>západ / west</t>
  </si>
  <si>
    <t>sever / north</t>
  </si>
  <si>
    <t>jih / south</t>
  </si>
  <si>
    <t>Extenzivní střecha / Extensive roof</t>
  </si>
  <si>
    <t>Intenzivní střecha / Intensive roof</t>
  </si>
  <si>
    <t>Štěrkový povrch / Gravel surface</t>
  </si>
  <si>
    <t>Počet bodov / Number of buildings</t>
  </si>
  <si>
    <t>Tabulka A / Table A</t>
  </si>
  <si>
    <t>Typ plochy / Surface type</t>
  </si>
  <si>
    <t>Rozsah / Range</t>
  </si>
  <si>
    <t>Fas / Facade</t>
  </si>
  <si>
    <t>St / Roof</t>
  </si>
  <si>
    <t>Střecha / Roof</t>
  </si>
  <si>
    <t>Fasáda / Facade</t>
  </si>
  <si>
    <t>Table A</t>
  </si>
  <si>
    <t>Odrazivost/plocha Reflectivity/area</t>
  </si>
  <si>
    <t>Index HBW střechy / roof &gt;= 35</t>
  </si>
  <si>
    <t>Index HBW fasády / facade &gt;= 35</t>
  </si>
  <si>
    <t>CELKEM TOTAL</t>
  </si>
  <si>
    <t>žiadny chladiaci systém / no cooling systém</t>
  </si>
  <si>
    <t>žádný chladicí systém                                                                                                                   žiadny chladiaci systém                                                                                                                     no cooling system</t>
  </si>
  <si>
    <t>pasívne chladenie (prostredníctvom nízkoteplotných okruhov v konštrukcii) / passive cooling (via low temperature circuits in the structure)</t>
  </si>
  <si>
    <t>vetrací systém s rekuperáciou tepla (s bypassom) / ventilation system with heat recuperation (with bypass)</t>
  </si>
  <si>
    <t>vetrací systém s integrovaným chladičom / ventilation system with integrated cooler</t>
  </si>
  <si>
    <t>vetrací systém so zemným výmenníkom / ventilation system with ground heat exchanger</t>
  </si>
  <si>
    <t>klimatizační zařízení (dělená klimatizace)                                                             klimatizačné zariadenie (delená klimatizácia)                                                             air conditioning (split air conditioning)</t>
  </si>
  <si>
    <t>klimatizačné zariadenie (delená klimatizácia) / air conditioning (split air conditioning)</t>
  </si>
  <si>
    <t>Žádná z nabízených hodnot nemá 1 bod; skóre 1 nemůže nastat Žiadna z ponúkaných hodnôt nemá 1 bod; skóre 1 nemôže nastať None of the offered values has 1 point; score 1 cannot occur</t>
  </si>
  <si>
    <t>Vetrací systém s rekuperáciou / Ventilation system with recuperation</t>
  </si>
  <si>
    <t>Vetrací systém s rekuperáciou a s využitím pasívneho chladenia / Ventilation system with recuperation and using passive cooling</t>
  </si>
  <si>
    <t>Pasívne chladenie (prostredníctvom nízkoteplotých okruhov v konštrukcii) / Passive cooling (via low temperature circuits in the structure)</t>
  </si>
  <si>
    <t>Vetrací systém s rekuperáciou a s využitím aktívneho chladenia / Ventilation system with recuperation and using active cooling</t>
  </si>
  <si>
    <t>Technologie / Technology</t>
  </si>
  <si>
    <t>Hodnotenie / Rating</t>
  </si>
  <si>
    <t xml:space="preserve">Vyhodnocovací tabulka nemá hodnoty pro výsledek B, C, D </t>
  </si>
  <si>
    <t xml:space="preserve">Vyhodnocovacia tabuľka nemá hodnoty pre výsledok B, C, D </t>
  </si>
  <si>
    <t>The evaluation table has no values for the result B, C, D</t>
  </si>
  <si>
    <t>Kód Code</t>
  </si>
  <si>
    <t>Koeficient (k) Coefficient (k)</t>
  </si>
  <si>
    <t>CELKOM TOTAL</t>
  </si>
  <si>
    <t>Výmera CELKOM TOTAL area</t>
  </si>
  <si>
    <t>2401-více/more</t>
  </si>
  <si>
    <t>250-více/more</t>
  </si>
  <si>
    <t>B-EMI4 Výroba elektřiny v budově z OZE</t>
  </si>
  <si>
    <t>Funkcia MZI BGI function</t>
  </si>
  <si>
    <t xml:space="preserve">Koeficient MZI       BGI Coefficient </t>
  </si>
  <si>
    <t>Výmera MZI BGI area</t>
  </si>
  <si>
    <t>Bez vetracieho systému / Without ventilation system</t>
  </si>
  <si>
    <t>ID</t>
  </si>
  <si>
    <t>CZ</t>
  </si>
  <si>
    <t>SK</t>
  </si>
  <si>
    <t>ENG</t>
  </si>
  <si>
    <t>Rok výstavby</t>
  </si>
  <si>
    <t>Year of construction</t>
  </si>
  <si>
    <t xml:space="preserve">Rok významné obnovy budovy                                                                                                                                                  </t>
  </si>
  <si>
    <t>Rok významné obnovy budovy</t>
  </si>
  <si>
    <t>Year of significant renovation of the building</t>
  </si>
  <si>
    <t>Number of floors</t>
  </si>
  <si>
    <t>Počet podlaží</t>
  </si>
  <si>
    <t>Počet obyvatel</t>
  </si>
  <si>
    <t>Population</t>
  </si>
  <si>
    <t>Počet obyvateľov</t>
  </si>
  <si>
    <t xml:space="preserve">Zastavěná plocha </t>
  </si>
  <si>
    <t>Zastavaná plocha</t>
  </si>
  <si>
    <t>Built-up area</t>
  </si>
  <si>
    <t>Living space (flats)</t>
  </si>
  <si>
    <t>Obytná plocha (bytov)</t>
  </si>
  <si>
    <t>Obytná plocha (bytů)</t>
  </si>
  <si>
    <t>Povodňové riziko</t>
  </si>
  <si>
    <t>Flood risk</t>
  </si>
  <si>
    <t>Tepelná ochrana střechy</t>
  </si>
  <si>
    <t>Transparentní konstrukce</t>
  </si>
  <si>
    <t>Stínění konstrukcemi a zelení</t>
  </si>
  <si>
    <t>Vegetační a štěrkové střechy</t>
  </si>
  <si>
    <t>Barevné provedení</t>
  </si>
  <si>
    <t>Větrací zařízení</t>
  </si>
  <si>
    <t>Spotřeba elektřiny v budově</t>
  </si>
  <si>
    <t>Tepelná ochrana strechy</t>
  </si>
  <si>
    <t>Thermal protection of the roof</t>
  </si>
  <si>
    <t>Transparentná konštrukcia</t>
  </si>
  <si>
    <t>Transparent construction</t>
  </si>
  <si>
    <t>Tienenie konštrukciami a zeleňou</t>
  </si>
  <si>
    <t>Shielding by structures and greenery</t>
  </si>
  <si>
    <t>Vegetačné a štrkové strechy</t>
  </si>
  <si>
    <t>Vegetation and gravel roofs</t>
  </si>
  <si>
    <t>Farebné prevedenie</t>
  </si>
  <si>
    <t>Color design</t>
  </si>
  <si>
    <t>Vetracie zariadenie</t>
  </si>
  <si>
    <t>Ventilation equipment</t>
  </si>
  <si>
    <t>Spotreba elektriny v budove</t>
  </si>
  <si>
    <t>Electricity consumption in the building</t>
  </si>
  <si>
    <t>Wastewater production in the building</t>
  </si>
  <si>
    <t>Produkcia odpadovej vody v budove</t>
  </si>
  <si>
    <t>Produkce odpadní vody v budově</t>
  </si>
  <si>
    <t>Production of municipal solid waste in the building</t>
  </si>
  <si>
    <t>Produkcia tuhého komunálneho odpadu v budove</t>
  </si>
  <si>
    <t>Produkce tuhého komunálního odpadu v budově</t>
  </si>
  <si>
    <t>Electricity generation in the building from RES</t>
  </si>
  <si>
    <r>
      <t>Výroba elektřiny v budově z OZE</t>
    </r>
    <r>
      <rPr>
        <sz val="11"/>
        <rFont val="Calibri"/>
        <family val="2"/>
        <charset val="238"/>
        <scheme val="minor"/>
      </rPr>
      <t/>
    </r>
  </si>
  <si>
    <t>Výroba elektriny v budove z OZE</t>
  </si>
  <si>
    <t>Threat to technical infrastructure from floods</t>
  </si>
  <si>
    <t>Ohrozenie technickej infraštruktúry záplavami</t>
  </si>
  <si>
    <t>Ohrožení technické infrastruktury záplavami</t>
  </si>
  <si>
    <t>Threat to the building by extreme meteorological phenomena</t>
  </si>
  <si>
    <t>Ohrozenie stavby extrémnymi meteorologickými javmi</t>
  </si>
  <si>
    <t>Ohrožení stavby extrémními meteorologickými jevy</t>
  </si>
  <si>
    <t>The difference between the average annual air temperature in the observed year and the long-term average</t>
  </si>
  <si>
    <t>Rozdíl průměrné roční teploty vzduchu ve sledovaném roce oproti dlouhodobému průměru</t>
  </si>
  <si>
    <t xml:space="preserve">  Rozdiel priemernej ročnej teploty vzduchu v referenčnom roku oproti dlhodobému priemeru</t>
  </si>
  <si>
    <t>Thermal protection of perimeter walls - predominant thickness of thermal insulation wall material (mm)</t>
  </si>
  <si>
    <t xml:space="preserve">Tepelná ochrana obvodových stien - prevažujúci hrúbka tepelnoizolačného materiálu stien (mm) </t>
  </si>
  <si>
    <t>Tepelná ochrana obvodových stěn - převažující tlouštka tepelně izolačního materiálu stěn (mm)</t>
  </si>
  <si>
    <t>Shielding structures and shielding by structures</t>
  </si>
  <si>
    <t>Stínící konstrukce a stínění konstrukcemi</t>
  </si>
  <si>
    <t xml:space="preserve">Tieniace konštrukcie a tienenie konštrukciami                                                                                                                 </t>
  </si>
  <si>
    <t>Cooling equipment - select the method of cooling the building</t>
  </si>
  <si>
    <t>Chladiace zariadenie - vyberte spôsob chladenia domu</t>
  </si>
  <si>
    <t>Chladící zařízení - vyberte způsob chlazení domu</t>
  </si>
  <si>
    <t>Heat consumption in the building - remote source</t>
  </si>
  <si>
    <t>Spotreba tepla v budove - diaľkový zdroj</t>
  </si>
  <si>
    <t>Spotřeba tepla v budově – dálkový zdroj</t>
  </si>
  <si>
    <t>Heat consumption in the building - source in the building</t>
  </si>
  <si>
    <t>Spotreba tepla v budove - zdroj v budove</t>
  </si>
  <si>
    <t>Spotřeba tepla v budově – zdroj v budově</t>
  </si>
  <si>
    <t>Ensuring prevention against natural disasters</t>
  </si>
  <si>
    <t>Zaistenie prevencie proti živelným udalostiam</t>
  </si>
  <si>
    <t>Zajištění prevence proti živelním událostem</t>
  </si>
  <si>
    <t>Rainwater capture on the building</t>
  </si>
  <si>
    <t>Zachytávanie zrážkovej vody na budove</t>
  </si>
  <si>
    <t>Zachytávání srážkové vody na budově</t>
  </si>
  <si>
    <t>Retention of rainwater around the building</t>
  </si>
  <si>
    <t>Zadržiavanie zrážkovej vody v okolí budovy</t>
  </si>
  <si>
    <t>Zadržování srážkové vody v okolí budovy</t>
  </si>
  <si>
    <t>Technical security of the building against floods and torrential rains</t>
  </si>
  <si>
    <t>Technické zabezpečenie budovy pred záplavami a prívalovými zrážkami</t>
  </si>
  <si>
    <t>Technické zabezpečení budovy před záplavami a přívalovými srážkami</t>
  </si>
  <si>
    <t>Capacity of the building for accumulating rainwater</t>
  </si>
  <si>
    <t>Kapacita budovy pre akumuláciu dažďovej vody</t>
  </si>
  <si>
    <t>Kapacita budovy pro akumulaci dešťové vody</t>
  </si>
  <si>
    <t>not entered</t>
  </si>
  <si>
    <t>nezadané</t>
  </si>
  <si>
    <t>nezadáno</t>
  </si>
  <si>
    <t>Kód (odkaz na list)</t>
  </si>
  <si>
    <t>Code (link to sheet)</t>
  </si>
  <si>
    <t>Klimasken for buildings</t>
  </si>
  <si>
    <t>Klimasken pre budovy</t>
  </si>
  <si>
    <t>Klimasken pro budovy</t>
  </si>
  <si>
    <t xml:space="preserve">Building </t>
  </si>
  <si>
    <t xml:space="preserve">Označenie budovy: </t>
  </si>
  <si>
    <t>Označení budovy:</t>
  </si>
  <si>
    <t>Address:</t>
  </si>
  <si>
    <t>Adresa:</t>
  </si>
  <si>
    <t>Indicator</t>
  </si>
  <si>
    <t>Indikátor</t>
  </si>
  <si>
    <t>Zadaná/vypočítaná hodnota</t>
  </si>
  <si>
    <t>Entered/calculated value</t>
  </si>
  <si>
    <t>Škála (A-E)</t>
  </si>
  <si>
    <t>Scale (A-E)</t>
  </si>
  <si>
    <t>Možná neúplnost dat (!)</t>
  </si>
  <si>
    <t>Possible incomplete data (!)</t>
  </si>
  <si>
    <t>Možná neúplnost dát (!)</t>
  </si>
  <si>
    <t>Jazyk / Language:</t>
  </si>
  <si>
    <t>Slovenčina</t>
  </si>
  <si>
    <t>English</t>
  </si>
  <si>
    <t>Čeština</t>
  </si>
  <si>
    <t>Lang:</t>
  </si>
  <si>
    <t>nezadané/nekompletné</t>
  </si>
  <si>
    <t>nezadáno/nekompletní</t>
  </si>
  <si>
    <t>not entered/incomplete</t>
  </si>
  <si>
    <t>neúplné vstupy</t>
  </si>
  <si>
    <t>incomplete inputs</t>
  </si>
  <si>
    <t>nelze vypočítat</t>
  </si>
  <si>
    <t>nedá sa vypočítať</t>
  </si>
  <si>
    <t>cannot be calculated</t>
  </si>
  <si>
    <t>Identifikácia budovy</t>
  </si>
  <si>
    <t>B-POP1 - Year of construction</t>
  </si>
  <si>
    <t>B-POP2 - Year of significant renovation of the building</t>
  </si>
  <si>
    <t>B-POP3 - Number of floors</t>
  </si>
  <si>
    <t>B-POP4 - Population</t>
  </si>
  <si>
    <t>B-POP5 - Built-up area</t>
  </si>
  <si>
    <t>B-POP6 - Living space (flats)</t>
  </si>
  <si>
    <t>B-EX1 - Flood risk</t>
  </si>
  <si>
    <t>B-EX2 - Threat to technical infrastructure from floods</t>
  </si>
  <si>
    <t>B-EX3 - Threat to the building by extreme meteorological phenomena</t>
  </si>
  <si>
    <t>B-EX4 - The difference between the average annual air temperature in the observed year and the long-term average</t>
  </si>
  <si>
    <t>B-AD1 - Thermal protection of perimeter walls</t>
  </si>
  <si>
    <t>B-AD2 - Thermal protection of the roof</t>
  </si>
  <si>
    <t xml:space="preserve">B-AD3 - Transparent construction </t>
  </si>
  <si>
    <t>B-AD4 - Shielding structures and shielding by structures</t>
  </si>
  <si>
    <t>B-AD5 - Shielding by structures and greenery</t>
  </si>
  <si>
    <t>B-AD6 - Vegetation and gravel roofs</t>
  </si>
  <si>
    <t>B-AD7 Color design of the roof and facade</t>
  </si>
  <si>
    <t>B-AD8 - Cooling equipment</t>
  </si>
  <si>
    <t>B-AD9 - Ventilation equipment</t>
  </si>
  <si>
    <t>B-AD10 - Capacity of the building for accumulating rainwater</t>
  </si>
  <si>
    <t>B-GOV1 - Technical security of the building against floods and torrential rains</t>
  </si>
  <si>
    <t>B-GOV2 - Retention of rainwater around the building</t>
  </si>
  <si>
    <t>B-GOV3 - Rainwater capture on the building</t>
  </si>
  <si>
    <t>B-EMI1 - Heat consumption in the building – source in the building</t>
  </si>
  <si>
    <t xml:space="preserve">B-EMI2 - Heat consumption in the building – remote source </t>
  </si>
  <si>
    <t>B-EMI3 - Electricity consumption in the building</t>
  </si>
  <si>
    <t>B-EMI5 - Production of municipal solid waste in the building</t>
  </si>
  <si>
    <t>B-EMI6 - Wastewater production in the building</t>
  </si>
  <si>
    <t>B-POP1 - Rok výstavby</t>
  </si>
  <si>
    <t xml:space="preserve">B-POP2 - Rok významné obnovy budovy                                          </t>
  </si>
  <si>
    <t>B-POP2 - Rok významné obnovy budovy</t>
  </si>
  <si>
    <t>B-POP3 - Počet podlaží</t>
  </si>
  <si>
    <t>B-POP4 - Počet obyvateľov</t>
  </si>
  <si>
    <t>B-POP4 - Počet obyvatel</t>
  </si>
  <si>
    <t>B-POP5 - Zastavaná plocha</t>
  </si>
  <si>
    <t>B-POP5 - Zastavěná plocha</t>
  </si>
  <si>
    <t>B-POP6 - Obytná plocha (bytů)</t>
  </si>
  <si>
    <t>B-POP6 - Obytná plocha (bytov)</t>
  </si>
  <si>
    <t>B-EX1 - Povodňové riziko</t>
  </si>
  <si>
    <t>B-EX2 - Ohrožení infrastruktury záplavami</t>
  </si>
  <si>
    <t>B-EX2 - Ohrozenie technickej infraštruktúry záplavami</t>
  </si>
  <si>
    <t>B-EX3 - Ohrozenie stavby extrémnymi meteorologickými javmi</t>
  </si>
  <si>
    <t>B-EX3 - Ohrožení stavby extrémními meteorologickými jevy</t>
  </si>
  <si>
    <t>B-EX4 - Rozdíl průměrné roční teploty vzduchu ve sledovaném roce oproti dlouhodobému průměru</t>
  </si>
  <si>
    <t>B-EX4 - Rozdiel priemernej ročnej teploty vzduchu v referenčnom roku oproti dlhodobému priemeru</t>
  </si>
  <si>
    <t xml:space="preserve">B-AD1 - Tepelná ochrana obvodových stěn                                                                    </t>
  </si>
  <si>
    <t>B-AD1 - Tepelná ochrana obvodových stien</t>
  </si>
  <si>
    <t>Metodický list indikátoru</t>
  </si>
  <si>
    <t>Methodical sheet of the indicator</t>
  </si>
  <si>
    <t>Metodický list indikátora</t>
  </si>
  <si>
    <t xml:space="preserve">Identifikace budovy </t>
  </si>
  <si>
    <t>Building address</t>
  </si>
  <si>
    <t>Adresa budovy</t>
  </si>
  <si>
    <t>Enter the year of construction</t>
  </si>
  <si>
    <t>Zadajte rok výstavby</t>
  </si>
  <si>
    <t>Zadejte rok výstavby</t>
  </si>
  <si>
    <t>Jazyk</t>
  </si>
  <si>
    <t>Language</t>
  </si>
  <si>
    <t>Změnit</t>
  </si>
  <si>
    <t>Zmenit</t>
  </si>
  <si>
    <t>Change</t>
  </si>
  <si>
    <t>Enter the year of the last significant renovation of the building</t>
  </si>
  <si>
    <t>Zadajte rok poslednej významnej obnovy budovy</t>
  </si>
  <si>
    <t>Zadejte rok poslední významné obnovy budovy</t>
  </si>
  <si>
    <t>Enter the number of floors of the building</t>
  </si>
  <si>
    <t>Zadajte počet podlaží budovy</t>
  </si>
  <si>
    <t>Zadejte počet podlaží budovy</t>
  </si>
  <si>
    <t>Number of inhabitants in the building</t>
  </si>
  <si>
    <t>Počet obyvateľov v budove</t>
  </si>
  <si>
    <t>Počet obyvatel v budově</t>
  </si>
  <si>
    <t>Navigace</t>
  </si>
  <si>
    <t>Navigácia</t>
  </si>
  <si>
    <t>Navigation</t>
  </si>
  <si>
    <t>ANO</t>
  </si>
  <si>
    <t>NE</t>
  </si>
  <si>
    <t>ÁNO</t>
  </si>
  <si>
    <t>NIE</t>
  </si>
  <si>
    <t>YES</t>
  </si>
  <si>
    <t>NO</t>
  </si>
  <si>
    <t>For the buildingapplies that: (YES / NO)</t>
  </si>
  <si>
    <t>Pre budovu platí, že: (ÁNO / NIE)</t>
  </si>
  <si>
    <t>Pro budovu platí, že: (ANO/NE)</t>
  </si>
  <si>
    <t>The building has been flooded in the last 5 years</t>
  </si>
  <si>
    <t>Dom bol v posledných 5 rokoch zaplavený</t>
  </si>
  <si>
    <t>Dům byl v posledních 5 letech zaplaven</t>
  </si>
  <si>
    <t>The building has a part below ground level without a functional device for pumping flood water</t>
  </si>
  <si>
    <t>Objekt má časť pod úrovňou terénu bez fuknčného zariadení odčerpanie záplavovej vody</t>
  </si>
  <si>
    <t>The technological room/main technological equipment of the building is in the basement</t>
  </si>
  <si>
    <t>Technologická miestnosť/hlavné technologické zariadenie objektu je v suteréne</t>
  </si>
  <si>
    <t>Technologická místnost/hlavní technologické zařízení objektu je v suterénu</t>
  </si>
  <si>
    <t>Near the boundary of the building (up to 5 m) there are sewer drains above the basement level</t>
  </si>
  <si>
    <t>V blízkosti hranice objektu (do 5 m) sú kanalizačné vpuste nad úrovňou suterénu</t>
  </si>
  <si>
    <t>V blízkosti hranice objektu (do 5 m) jsou kanalizační vpusti nad úrovní suterénu</t>
  </si>
  <si>
    <t>Rainwater and/or sewage pipes do not meet all standards for profile and slope</t>
  </si>
  <si>
    <t>Potrubie dažďovej kanalizácie a/alebo splaškovej kanalizácie nespĺňajú všetky normy na profil a sklon</t>
  </si>
  <si>
    <t>Potrubí dešťové kanalizace a/nebo splaškové kanalizace nesplňují všechny normy na profil a sklon</t>
  </si>
  <si>
    <t>Roof inlet and outlet gutters are not provided with a grid</t>
  </si>
  <si>
    <t>The object is connected to the rain sewer and this connection is not equipped with an anti-swelling device</t>
  </si>
  <si>
    <t>The rainwater connection is without a non-return valve</t>
  </si>
  <si>
    <t>The location of the main electrical equipment (main circuit breaker, house circuit breakers, fuse box, main power switch, switchboards, HDO, etc.) are located in the basement lower than 2.5 m above the definitely prepared terrain</t>
  </si>
  <si>
    <t>The main gas valve and gas meter are located in the basement</t>
  </si>
  <si>
    <t>Hlavný uzáver plynu a plynomer je umiestnený v suteréne</t>
  </si>
  <si>
    <t>Hlavní uzávěr plynu a plynoměr je umístěný v suterénu</t>
  </si>
  <si>
    <t xml:space="preserve">Umiestnenie hlavných elektrických zariadení (hlavný istič, domové ističe, poistková skriňa, hlavný vypínač elektriny, rozvádzače, HDO a podobne) sú umiestnené v suteréne nižšie ako 2,5 m nad definitívne upraveným terénom              </t>
  </si>
  <si>
    <t>Umístění hlavních elektrických zařízení (hlavní jistič, domovní jističe, pojistková skříň, hlavní vypínač elektřiny, rozvaděče, HDO a podobně) jsou umístěné v suterénu níže než 2,5 m nad definitivně upraveným terénem</t>
  </si>
  <si>
    <t xml:space="preserve">Přípojka dešťové kanalizace je bez zpětné klapky                                                                                                                                   </t>
  </si>
  <si>
    <t>Prípojka dažďovej kanalizácie je bez spätnej klapky</t>
  </si>
  <si>
    <t>Objekt je pripojený na dažďovú kanalizáciu a táto prípojka nie je opatrená zariadením proti vzdutiu</t>
  </si>
  <si>
    <t>Objekt je připojený na dešťovou kanalizaci a tato přípojka není opatřená zařízením proti vzdutí</t>
  </si>
  <si>
    <t>Strešné vtoky a výtoky z odkvapov nie sú opatrené mriežkou</t>
  </si>
  <si>
    <t>Střešní vtoky a výtoky z okapů nejsou opatřené mřížkou</t>
  </si>
  <si>
    <t>Indicator value</t>
  </si>
  <si>
    <t>Hodnota indikátora</t>
  </si>
  <si>
    <t>Hodnota indikátoru</t>
  </si>
  <si>
    <t>Select the flood risk of the buildng</t>
  </si>
  <si>
    <t>Vyberte povodňové riziko domu</t>
  </si>
  <si>
    <t>The building is equipped with a functional and regularly inspected lightning conductor</t>
  </si>
  <si>
    <t>The access road to the building is passable all year round (its passability is maintained by the technical services of the municipality)</t>
  </si>
  <si>
    <t>From the surroundings up to 10 m from the building there are no treetops or treetops with dry branches or disturbed statics; trees closer than 10 m to the building are regularly maintained and inspected.</t>
  </si>
  <si>
    <t>The electrical connection to the building is realized by an underground line</t>
  </si>
  <si>
    <t>All network connections are located at a non-freezing depth; the main water valve is protected from frost all year round</t>
  </si>
  <si>
    <t>There is a regular inspection of the security of sensitive technologies related to the building (PV, solar collectors, awnings) against gusts of wind, hail and storms, or there are no such technologies on the building.</t>
  </si>
  <si>
    <t>Je vykonávaná pravidelná kontrola zabezpečenia citlivých technológií súvisiacich s budovou (FVE, solárne kolektory, markízy) pred nárazovým vetrom, krúpami a búrkami alebo takejto technológie na budove nie sú.</t>
  </si>
  <si>
    <t>Je prováděna pravidelná kontrola zabezepčení citlivých technologií souvisejících s budovou (FVE, solární kolektory, markýzy) před nárazovým větrem, kroupami a bouřkami nebo takové technologie na budově nejsou.</t>
  </si>
  <si>
    <t>Všechny přípojky sítí jsou umístěné v nezámrzné hloubce; hlavní uzávěr vody je celoročně chráněný před mrazem.</t>
  </si>
  <si>
    <t>Všetky prípojky sietí sú umiestnené v nemrznúcej hĺbke; hlavný uzáver vody je celoročne chránený pred mrazom.</t>
  </si>
  <si>
    <t>Elektrická přípojka k objektu je realizovaná podzemním vedením.</t>
  </si>
  <si>
    <t>Elektrická prípojka k objektu je realizovaná podzemným vedením .</t>
  </si>
  <si>
    <t>Od okolí do 10 m od budovy se nenacházejí koruny stromů nebo koruny stromů se suchými větvemi či narušenou statikou; stromy blíže než 10 m k budově jsou pravidelně udržované a kontrolované.</t>
  </si>
  <si>
    <t>Od okolia do 10 m od budovy sa nenachádzajú koruny stromov alebo koruny stromov so suchými vetvami či narušenú statikou; stromy bližšie ako 10 m k budove sú pravidelne udržiavané a kontrolované.</t>
  </si>
  <si>
    <t>Přístupová cesta k objektu je celoročně průjezdná (její průjezdnost je udržována technickými službami obce).</t>
  </si>
  <si>
    <t>Prístupová cesta k objektu je celoročne prejazdná (jej prejazdnosť je udržiavaná technickými službami obce).</t>
  </si>
  <si>
    <t>Stavba je vybavená funkčním a pravidelně kontrolovaným hromosvodem.</t>
  </si>
  <si>
    <t>Stavba je vybavená funkčným a pravidelne kontrolovaným bleskozvodom.</t>
  </si>
  <si>
    <t>Obec</t>
  </si>
  <si>
    <t>City</t>
  </si>
  <si>
    <t>B-AD3 - Transparentná konštrukcia</t>
  </si>
  <si>
    <t>B-AD3 - Transparentní konstrukce</t>
  </si>
  <si>
    <t>B-AD2 - Tepelná ochrana strechy</t>
  </si>
  <si>
    <t>B-AD2 - Tepelná ochrana střechy</t>
  </si>
  <si>
    <t>B-AD4 - Tieniace konštrukcie a tienenie konštrukciami</t>
  </si>
  <si>
    <t>B-AD4 - Stínící konstrukce a stínění konstrukcemi</t>
  </si>
  <si>
    <t>B-AD5 - Tienenie konštrukciami a zeleňou</t>
  </si>
  <si>
    <t>B-AD5 - Stínění fasády konstrukcemi a zelení</t>
  </si>
  <si>
    <t>B-AD6 - Vegetačné a štrkové strechy</t>
  </si>
  <si>
    <t>B-AD6 - Vegetační a štěrkové střechy</t>
  </si>
  <si>
    <t>B-AD8 - Chladiace zariadenie</t>
  </si>
  <si>
    <t>B-AD8 - Chladící zařízení</t>
  </si>
  <si>
    <t>B-AD9 - Vetracie zariadenie</t>
  </si>
  <si>
    <t>B-AD9 - Větrací zařízení</t>
  </si>
  <si>
    <t>B-AD10 - Kapacita budovy pre akumuláciu dažďovej vody</t>
  </si>
  <si>
    <t>B-AD10 - Kapacita budovy pro akumulaci dešťové vody</t>
  </si>
  <si>
    <t>B-GOV1 - Technické zabezpečenie budovy pred záplavami a prívalovými zrážkami</t>
  </si>
  <si>
    <t>B-GOV1 - Technické zabezpečení budovy před záplavami a přívalovými srážkami</t>
  </si>
  <si>
    <t>B-GOV2 - Zadržiavanie zrážkovej vody v okolí budovy</t>
  </si>
  <si>
    <t>B-GOV2 - Zadržování srážkové vody v okolí budovy</t>
  </si>
  <si>
    <t>B-GOV3 - Zachytávanie zrážkovej vody na budove</t>
  </si>
  <si>
    <t>B-GOV3 - Zachytávání srážkové vody na budově</t>
  </si>
  <si>
    <t>B-EMI1 - Spotreba tepla v budove – zdroj v budove</t>
  </si>
  <si>
    <t>B-EMI1 - Spotřeba tepla v budově – zdroj v budově</t>
  </si>
  <si>
    <t>B-EMI2 - Spotreba tepla v budove – diaľkový zdroj</t>
  </si>
  <si>
    <t>B-EMI2 - Spotřeba tepla v budově – dálkový zdroj</t>
  </si>
  <si>
    <t>B-EMI3 - Spotreba elektriny v budove</t>
  </si>
  <si>
    <t>B-EMI3 - Spotřeba elektřiny v budově</t>
  </si>
  <si>
    <t>Emission indicators - specification of the country</t>
  </si>
  <si>
    <t>Emisné indikátory - upresnenie štátu</t>
  </si>
  <si>
    <t>Emisní indikátory - upřesnění státu</t>
  </si>
  <si>
    <t>Some emission factors vary significantly by country. Please specify the country for which the calculation is to be performed.</t>
  </si>
  <si>
    <t>Niektoré emisné faktory sa významne líši podľa štátu. Uveďte štát, pre ktorý má byť výpočet vykonávaný.</t>
  </si>
  <si>
    <t>Některé emisní faktory se významně liší podle státu. Upřesněte prosím zemi, pro kterou má být výpočet prováděn.</t>
  </si>
  <si>
    <t>If you do not specify the country, the values for the Czech Republic will be considered.</t>
  </si>
  <si>
    <t>Ak štát neupřesníte, budú uvažované hodnoty pre Českú republiku.</t>
  </si>
  <si>
    <t>Pokud zemi neupřesníte, budou uvažovány hodnoty pro Českou republiku.</t>
  </si>
  <si>
    <t>Česká republika</t>
  </si>
  <si>
    <t>Slovensko</t>
  </si>
  <si>
    <t>Czech Republic</t>
  </si>
  <si>
    <t>Slovakia</t>
  </si>
  <si>
    <t>další země - rezerva</t>
  </si>
  <si>
    <t>other country - reserved fields</t>
  </si>
  <si>
    <t>The difference between the average annual air temperature in the observed year and the long-term average (°C)</t>
  </si>
  <si>
    <t>Rozdiel priemernej ročnej teploty vzduchu v referenčnom roku oproti dlhodobému priemeru (°C)</t>
  </si>
  <si>
    <t>Rozdíl průměrné roční teploty vzduchu ve sledovaném roce oproti dlouhodobému průměru (°C)</t>
  </si>
  <si>
    <t>Choice of multiple options</t>
  </si>
  <si>
    <t>Výber z viacerých možností</t>
  </si>
  <si>
    <t>Výběr z více možností</t>
  </si>
  <si>
    <t>Vyhovuje?</t>
  </si>
  <si>
    <t>Does it suit?</t>
  </si>
  <si>
    <t>Parametr</t>
  </si>
  <si>
    <t>building with a regular floor plan without risalits and shaping</t>
  </si>
  <si>
    <t xml:space="preserve">budova pravidelného půdorysu bez rizalitů a tvarování                                                                                                                                             </t>
  </si>
  <si>
    <t>budova pravidelného pôdorysu bez rizalitov a tvarovania</t>
  </si>
  <si>
    <t>hydro-insulation on the entire roof surface (flat or sloping)</t>
  </si>
  <si>
    <t>hydroizolácia na celej ploche strechy (ploché alebo sklonené)</t>
  </si>
  <si>
    <t>hydroizolace na celé ploše střechy (ploché nebo skloněné)</t>
  </si>
  <si>
    <t>hydro-insulation of the roof without defects</t>
  </si>
  <si>
    <t>hydroizolácia strechy bez nedostatkov</t>
  </si>
  <si>
    <t>hydroizolace střechy bez nedostatků</t>
  </si>
  <si>
    <t>functional and sufficiently capacity drainage of rainwater from the entire roof area</t>
  </si>
  <si>
    <t>funkčný a dostatočne kapacitný odvod zrážkových vôd z celej plochy striech</t>
  </si>
  <si>
    <t>funkční a dostatečně kapacitní odvod srážkových vod z celé plochy střech</t>
  </si>
  <si>
    <t>covering the building or courtyard with another roof with rainwater drainage</t>
  </si>
  <si>
    <t>prekrytie budovy či nádvoria ďalšou strechou s odvodom dažďovej vody</t>
  </si>
  <si>
    <t>překrytí budovy či nádvoří další střechou s odvodem dešťové vody</t>
  </si>
  <si>
    <t>covering the predominant number of entrances through a roof (including entrances to cellars and basements)</t>
  </si>
  <si>
    <t>prekrytie prevažujúceho počtu vstupov a vchodov strechou (vrátane vchodov do pivníc a suterénnych priestorov)</t>
  </si>
  <si>
    <t>překrytí převažujícího počtu vstupů a vchodů střechou (včetně vchodů do sklepů a suterénních prostor)</t>
  </si>
  <si>
    <t>predominant proportion of the area of building openings (doors, windows) above ground level</t>
  </si>
  <si>
    <t>prevažujúci podiel plochy stavebných otvorov (dvere, okná) nad úrovňou terénu</t>
  </si>
  <si>
    <t>převažující podíl plochy stavebních otvorů (dveře, okna) nad úrovní terénu</t>
  </si>
  <si>
    <t>fixed flood gates and shutters</t>
  </si>
  <si>
    <t>pevné protipovodňové vrata a uzávěry</t>
  </si>
  <si>
    <t>pevné protipovodňové vráta a uzávery</t>
  </si>
  <si>
    <t>secured entrances to cellars and basements, for example by raising the terrain to prevent direct leakage by a sufficient gutter, etc.</t>
  </si>
  <si>
    <t>zabezpečené vchody do pivníc a suterénnych priestorov napríklad navýšením terénu, aby sa zamedzilo priamemu zatekaniu dostatočným odtokovým žľabom apod.</t>
  </si>
  <si>
    <t>zabezpečené vchody do sklepů a suterénních prostor například navýšením terénu, aby se zamezilo přímému zatékání dostatečným odtokovým žlabem apod.</t>
  </si>
  <si>
    <t>adjacent gutter pavements  with drainage on the predominant part of the perimeter</t>
  </si>
  <si>
    <t>priliehajúce odkvapové chodníky s odvodom vody na prevažujúcej časti obvodu</t>
  </si>
  <si>
    <t>přiléhající okapové chodníky s odvodem vody na převažující části obvodu</t>
  </si>
  <si>
    <t>predominant sloping of pavements and adjacent paved areas at least 2 % in the direction from the building</t>
  </si>
  <si>
    <t>převažující vyspádování chodníků a přiléhající zpevněné plochy min 2 % ve směru od budovy</t>
  </si>
  <si>
    <t>prevažujúce vyspádovanie chodníkov a priliehajúce spevnené plochy min 2 % v smere od budovy</t>
  </si>
  <si>
    <t>surrounding terrain (land), mostly sloping in the direction from the house</t>
  </si>
  <si>
    <t>okolitý terén (pozemok) prevažne zvažujúci smerom od domu</t>
  </si>
  <si>
    <t>okolní terén (pozemek) převážně svažitý směrem od domu</t>
  </si>
  <si>
    <t>special hydro-insulation of foundations against pressurized water</t>
  </si>
  <si>
    <t>zvláštna hydroizolačná ochrana základov proti tlakovej vode</t>
  </si>
  <si>
    <t>zvláštní hydroizolační ochrana základů proti tlakové vodě</t>
  </si>
  <si>
    <t>vertical hydro-insulation of foundations around the entire perimeter</t>
  </si>
  <si>
    <t>zvislá hydroizolácia základov po celom obvode</t>
  </si>
  <si>
    <t>svislá hydroizolace základů po celém obvodu</t>
  </si>
  <si>
    <t>horizontal hydro-insulation of foundations in the whole floor plan</t>
  </si>
  <si>
    <t xml:space="preserve">vodorovná hydroizolácia základov v celom pôdoryse </t>
  </si>
  <si>
    <t>vodorovná hydroizolace základů v celém půdorysu</t>
  </si>
  <si>
    <t>Některé parametry (</t>
  </si>
  <si>
    <t>celkem) nemáte vyplněné. Nezapomněli jste?</t>
  </si>
  <si>
    <t>Niektoré parametre (</t>
  </si>
  <si>
    <t>celkovo). Zabudli ste?</t>
  </si>
  <si>
    <t xml:space="preserve">Some parameters ( </t>
  </si>
  <si>
    <t>in total) are not filled in. Have you forgotten?</t>
  </si>
  <si>
    <t>Tepelná ochrana obvodových stien - prevažujúci hrúbka tepelnoizolačného materiálu stien (mm)</t>
  </si>
  <si>
    <t>Thermal protection of the roof - the predominant thickness of the thermal insulation material of the roof (mm)</t>
  </si>
  <si>
    <t>Tepelná ochrana strechy - prevažujúci hrúbka tepelnoizolačného materiálu strechy (mm)</t>
  </si>
  <si>
    <t>Tepelná ochrana střechy - převažující tlouštka tepelně izolačního materiálu střechy (mm)</t>
  </si>
  <si>
    <t>The building has only one type of windows</t>
  </si>
  <si>
    <t>Budova má iba jeden typ okien</t>
  </si>
  <si>
    <t>Budova má pouze jeden typ oken</t>
  </si>
  <si>
    <t>Type of windows in the building (choose)</t>
  </si>
  <si>
    <t>Typ okien v budove (vyberte)</t>
  </si>
  <si>
    <t>Typ oken v budově (vyberte)</t>
  </si>
  <si>
    <t>Proportion of area of windows oriented to:</t>
  </si>
  <si>
    <t>Podiel plochy okien orientovaných na:</t>
  </si>
  <si>
    <t>Podíl plochy oken orientovaných na:</t>
  </si>
  <si>
    <t>východ</t>
  </si>
  <si>
    <t>east</t>
  </si>
  <si>
    <t>západ</t>
  </si>
  <si>
    <t>west</t>
  </si>
  <si>
    <t>sever</t>
  </si>
  <si>
    <t>north</t>
  </si>
  <si>
    <t>jih</t>
  </si>
  <si>
    <t>juh</t>
  </si>
  <si>
    <t>south</t>
  </si>
  <si>
    <t>Celkem</t>
  </si>
  <si>
    <t>Celkom</t>
  </si>
  <si>
    <t>Total</t>
  </si>
  <si>
    <t>Musí být vybrán typ oken a součet podílů být 100 %!</t>
  </si>
  <si>
    <t>The window type must be selected and the sum of the proportions must be 100%!</t>
  </si>
  <si>
    <t>Musí byť vybraný typ okna a súčet podielov musí byť 100 %!</t>
  </si>
  <si>
    <t>Budova má iba jeden typ okien (hodnoty okien sa preberajú z B-AD2). Správne vyplnenie B-AD2 je podmienkou pre výpočet tejto tabuľky</t>
  </si>
  <si>
    <t>Proportion of windows oriented to:</t>
  </si>
  <si>
    <t>Podiel okien orientovaných na:</t>
  </si>
  <si>
    <t>Podíl oken orientovaných na:</t>
  </si>
  <si>
    <t>of which proportion of unshaded windows:</t>
  </si>
  <si>
    <t>z toho podiel nezastíněných okien:</t>
  </si>
  <si>
    <t>z toho podíl nezastíněných oken:</t>
  </si>
  <si>
    <t>% of the proportion of the facade area shaded by the external structure or mature deciduous or mixed greenery</t>
  </si>
  <si>
    <t>% podielu plochy fasády zatieneného vonkajšou konštrukciou alebo vzrastlou listnatou či zmiešanú zeleňou</t>
  </si>
  <si>
    <t>% podílu plochy fasády zastíněného vnější konstrukcí nebo vzrostlou listnatou či smíšenou zelení</t>
  </si>
  <si>
    <t>Extensive roof</t>
  </si>
  <si>
    <t>Intensive roof</t>
  </si>
  <si>
    <t>Gravel surface</t>
  </si>
  <si>
    <t>Other / common roofing</t>
  </si>
  <si>
    <t>Ostatná / bežná krytina</t>
  </si>
  <si>
    <t>Ostatní / běžná krytina</t>
  </si>
  <si>
    <t>Štrkový povrch</t>
  </si>
  <si>
    <t>Intenzívna strecha</t>
  </si>
  <si>
    <t>Intenzivní střecha</t>
  </si>
  <si>
    <t>Štěrkový povrch</t>
  </si>
  <si>
    <t>Extenzívna strecha</t>
  </si>
  <si>
    <t>Extenzivní střecha</t>
  </si>
  <si>
    <t>incorrect/incomplete entries</t>
  </si>
  <si>
    <t>chybné/neúplné vstupy</t>
  </si>
  <si>
    <t>B-AD7  Barevné provedení střechy a fasády</t>
  </si>
  <si>
    <t>B-AD7 Farebné prevedenie strechy a fasády</t>
  </si>
  <si>
    <t>pasívne chladenie (prostredníctvom nízkoteplotných okruhov v konštrukcii)</t>
  </si>
  <si>
    <t>passive cooling (via low temperature circuits in the structure)</t>
  </si>
  <si>
    <t>vetrací systém s rekuperáciou tepla (s bypassom)</t>
  </si>
  <si>
    <t>ventilation system with heat recuperation (with bypass)</t>
  </si>
  <si>
    <t>vetrací systém s integrovaným chladičom</t>
  </si>
  <si>
    <t>ventilation system with integrated cooler</t>
  </si>
  <si>
    <t>vetrací systém so zemným výmenníkom</t>
  </si>
  <si>
    <t>ventilation system with ground heat exchanger</t>
  </si>
  <si>
    <t>klimatizačné zariadenie (delená klimatizácia)</t>
  </si>
  <si>
    <t>air conditioning (split air conditioning)</t>
  </si>
  <si>
    <t>Choose from the list</t>
  </si>
  <si>
    <t>Vyberte zo zoznamu</t>
  </si>
  <si>
    <r>
      <t>m</t>
    </r>
    <r>
      <rPr>
        <vertAlign val="superscript"/>
        <sz val="11"/>
        <color theme="1"/>
        <rFont val="Calibri"/>
        <family val="2"/>
        <charset val="238"/>
        <scheme val="minor"/>
      </rPr>
      <t>3</t>
    </r>
  </si>
  <si>
    <t>Tank volume according to consumption</t>
  </si>
  <si>
    <t>Objem nádrže podľa spotreby</t>
  </si>
  <si>
    <t>Objem nádrže dle spotřeby</t>
  </si>
  <si>
    <t>Tank volume according to the amount of usable rainwater</t>
  </si>
  <si>
    <t>Objem nádrže podľa množstva využiteľnej zrážkovej vody</t>
  </si>
  <si>
    <t>Objem nádrže dle množství využitelné srážkové vody</t>
  </si>
  <si>
    <t>Installed volume of tanks for capturing rainwater</t>
  </si>
  <si>
    <t>Inštalovaný objem nádrží na zachytenie dažďovej vody</t>
  </si>
  <si>
    <t>Instalovaný objem nádrží na zachycení dešťové vody</t>
  </si>
  <si>
    <t>Vypočítaná hodnota</t>
  </si>
  <si>
    <t>Calculated value</t>
  </si>
  <si>
    <t>Vypočtená hodnota</t>
  </si>
  <si>
    <t>Online kalkulačka TZB.info</t>
  </si>
  <si>
    <t>Online kalkulátor TZB.info (v českom jazyku)</t>
  </si>
  <si>
    <t>Online calculator TZB.info (only in Czech language)</t>
  </si>
  <si>
    <t>Kód</t>
  </si>
  <si>
    <t>Code</t>
  </si>
  <si>
    <t>Surface/object description</t>
  </si>
  <si>
    <t>Popis povrchu/objektu</t>
  </si>
  <si>
    <t>Definition</t>
  </si>
  <si>
    <t>Definícia</t>
  </si>
  <si>
    <t>Definice</t>
  </si>
  <si>
    <t>Výměra</t>
  </si>
  <si>
    <t>Plocha</t>
  </si>
  <si>
    <t>Area</t>
  </si>
  <si>
    <t>impermeable paved surfaces</t>
  </si>
  <si>
    <t>nepropustné zpevněné plochy</t>
  </si>
  <si>
    <t xml:space="preserve">nepriepustné spevnené plochy                                                                                                                                       </t>
  </si>
  <si>
    <t>areal objects with rainwater management allowing water infiltration</t>
  </si>
  <si>
    <t xml:space="preserve">plošné objekty HDV umožňujúce vsak vody </t>
  </si>
  <si>
    <t>plošné objekty HDV umožňující vsak vody</t>
  </si>
  <si>
    <t>objects with rainwater management regulating water runoff</t>
  </si>
  <si>
    <t>objekty HDV regulujúce odtok vody</t>
  </si>
  <si>
    <t>objekty HDV regulující odtok vody</t>
  </si>
  <si>
    <t>areas where treatment has been made to support rainwater infiltration</t>
  </si>
  <si>
    <t>plochy, pri ktorých bola vykonaná úprava na podporu vsaku zrážkovej vody</t>
  </si>
  <si>
    <t>plochy, u nichž byla provedena úprava na podporu vsaku srážkové vody</t>
  </si>
  <si>
    <t>underground overrooting space for trees</t>
  </si>
  <si>
    <t>podzemný prekoreniteľný priestor pre stromy</t>
  </si>
  <si>
    <t>podzemní překořenitelný prostor pro stromy</t>
  </si>
  <si>
    <t>shrubs area of height above 1 m</t>
  </si>
  <si>
    <t>plochy keřů výšky nad 1 m</t>
  </si>
  <si>
    <t>plochy kríkov výšky nad 1 m</t>
  </si>
  <si>
    <t>smaller in size, mostly deciduous trees</t>
  </si>
  <si>
    <t>vzrastovo menšie, zväčša listnaté stromy</t>
  </si>
  <si>
    <t>vzrůstově menší, většinou listnaté stromy</t>
  </si>
  <si>
    <t>massive trees - mixed (coniferous and deciduous), existing involved tree growth</t>
  </si>
  <si>
    <t>mohutné stromy - smíšené (jehličnaté a listnaté), existující zapojený porost stromů</t>
  </si>
  <si>
    <t>mohutné stromy - zmiešané (ihličnaté a listnaté), existujúci zapojený porast stromov</t>
  </si>
  <si>
    <t>extensively maintained grassy area, area with mixed vegetation cover of herb and wood steps</t>
  </si>
  <si>
    <t>extenzívne udržiavaná trávnatá plocha, plocha so zmiešaným vegetačným krytom bylinného a drevného poschodia</t>
  </si>
  <si>
    <t>extenzivně udržovaná travnatá plocha, plocha se smíšeným vegetačním krytem bylinného a dřevního patra</t>
  </si>
  <si>
    <t>grassy area with intensive maintenance with the possibility of free infiltration into deeper layers</t>
  </si>
  <si>
    <t>zatravněná plocha s intenzivní údržbou s možností volného vsakování do hlubších vrstev</t>
  </si>
  <si>
    <t xml:space="preserve">zatrávnená plocha s intenzívnou údržbou s možnosťou voľného vsakovania do hlbších vrstiev </t>
  </si>
  <si>
    <t>paved area with paving, threshing surface</t>
  </si>
  <si>
    <t>spevnená plocha s dlažbou, mlatová plocha</t>
  </si>
  <si>
    <t>zpevněná plocha s dlažbou,  mlatová plocha</t>
  </si>
  <si>
    <t>paved surface with permeable cover, unpaved surfaces without plant cover</t>
  </si>
  <si>
    <t>spevnená plocha s priepustným krytom, nespevnené plochy bez rastlinného krytu</t>
  </si>
  <si>
    <t>zpevněná plocha s propustným krytem, nezpevněné plochy bez rostlinného krytu</t>
  </si>
  <si>
    <t>small area with a continuous plant cover and the possibility of infiltration into deeper layers, strongly compacted</t>
  </si>
  <si>
    <t xml:space="preserve">malá plocha so súvislým rastlinným krytom a možnosťou vsakovanie do hlbších vrstiev, silne zhutnená                                </t>
  </si>
  <si>
    <t>malá plocha se souvislým rostlinným krytem a možností vsakování do hlubších vrstev, silně zhutněná</t>
  </si>
  <si>
    <t>soaking grooves (swales) with safety overflow</t>
  </si>
  <si>
    <t>vsakovacie priehlbne (swales) a ryhy s bezpečnostným prepadom</t>
  </si>
  <si>
    <t>vsakovací prohlubně (swales) a rýhy s bezpečnostním přepadem</t>
  </si>
  <si>
    <t>soaking grooves (swales) with regulated drainage</t>
  </si>
  <si>
    <t xml:space="preserve">vsakovacie priehlbne (swales) a ryhy s regulovaným odtokom                                                                                                                                                    </t>
  </si>
  <si>
    <t>vsakovací prohlubně (swales) a rýhy s regulovaným odtokem</t>
  </si>
  <si>
    <t>H-shaped areas, the topography and degree of compaction of which has been adjusted for the possibility of water infiltration from the surrounding areas, other areas where rainwater infiltration has been supported by a technical or technological measure</t>
  </si>
  <si>
    <t>plochy v tvare písmena H, ktorých topografia a miera zhutnenie bola upravená pre možnosť vsakovania vody z okolitých plôch, ostatné plochy, na ktorých bolo technickým alebo technologickým opatrením podporené vsakovanie zrážkovej vody</t>
  </si>
  <si>
    <t>root cells, structural substrate, root bridges and pathways with water regime optimization</t>
  </si>
  <si>
    <t>koreňové bunky, štruktúrny substrát, koreňové mosty a cesty s optimalizáciou vodného režimu</t>
  </si>
  <si>
    <t>kořenové buňky, strukturní substrát, kořenové mosty a cesty s optimalizací vodního režimu</t>
  </si>
  <si>
    <t>Small trees capture only 15 %, coniferous trees are more effective in capturing precipitation, as deciduous trees in the leafless state capture only 10 to 30 % (Xiao, McPherson, 2002, Calder et al. 2008 [2])</t>
  </si>
  <si>
    <t>Malé stromčeky zachytia iba 15 %, viac efektívne v zachytávaní zrážok sú ihličnaté stromy, nakoľko listnaté stromy v bezlistom stave zachytia len 10 až 30 % (Xiao, McPherson, 2002, Calder et al. 2008[2])</t>
  </si>
  <si>
    <t>Malé stromky zachytí pouze 15 %, více efektivní v zachytávání srážek jsou jehličnaté stromy, protože listnaté stromy v bezlistém     stavu zachytí jen 10 až 30 % (Xiao, McPherson, 2002 Calder et al. 2008 [2])</t>
  </si>
  <si>
    <t>massive trees capture 80 % of precipitation, coniferous trees are more effective in capturing precipitation, as deciduous trees in the leafless state capture only 10 to 30 % (Xiao, McPherson, 2002, Calder et al. 2008 [1])</t>
  </si>
  <si>
    <t>mohutné stromy zachytia 80 % zrážok, viac efektívne v zachytávaní zrážok sú ihličnaté stromy, nakoľko listnaté stromy v bezlistom stave zachytia len 10 až 30 % (Xiao, McPherson, 2002, Calder et al. 2008[1])</t>
  </si>
  <si>
    <t xml:space="preserve">mohutné stromy zachytí 80 % srážek, více efektivní v zachytávání srážek jsou jehličnaté stromy, protože listnaté stromy v bezlistém stavu zachytí jen 10 až 30 % (Xiao, McPherson, 2002 Calder et al. 2008 [1]) </t>
  </si>
  <si>
    <t>areas without plant cover and the possibility of rainwater infiltration</t>
  </si>
  <si>
    <t>plochy bez rastlinného krytu a možnosti vsakovanie zrážkovej vody</t>
  </si>
  <si>
    <t>plochy bez rostlinného krytu a možnosti vsakování srážkové vody</t>
  </si>
  <si>
    <t>vegetation areas with an increased value in terms of biodiversity or infiltration capacity</t>
  </si>
  <si>
    <t>vegetačné plochy so zvýšenou hodnotou z hľadiska biodiverzity alebo schopnosťou infiltrácie</t>
  </si>
  <si>
    <t>vegetační plochy se zvýšenou hodnotou biologické rozmanitosti nebo schopností infiltrace</t>
  </si>
  <si>
    <t>permeable paved surfaces and paving with permeable joint over 15 mm, area with gravel and sand surface with permeability over 10 mm/hour</t>
  </si>
  <si>
    <t xml:space="preserve">priepustné spevnené povrchy a dlažby s priepustnou škárou nad 15 mm, plocha so štrkovým a pieskovým povrchom s priepustnosťou nad 10 mm/hod                                                                                                                                                                                                    </t>
  </si>
  <si>
    <t>propustné zpevněné povrchy a dlažby s propustnou spárou nad 15 mm, plocha se štěrkovým a pískovým povrchem s propustností nad 10 mm/hod</t>
  </si>
  <si>
    <t>paving on a gravel bed with a joint of less than 15 mm, threshing surfaces with a permeability of less than 10 mm/hour</t>
  </si>
  <si>
    <t>dlažba na štrkovom lôžku so škárou menší ako 15 mm, mlatové plochy s priepustnosťou menšou ako 10 mm/hod</t>
  </si>
  <si>
    <t>dlažba na štěrkovém lůžku se spárou menší než 15 mm, mlatové plochy s propustností menší než 10 mm/hod</t>
  </si>
  <si>
    <t>plochy ve tvaru písmene H, jejichž topografie a míra zhutnění byla upravena pro možnost vsakování vody z okolních ploch, ostatní plochy, na kterých bylo technickým nebo technologickým opatřením podpořeno vsakování srážkové vody</t>
  </si>
  <si>
    <t>roof and facade surface without modifications</t>
  </si>
  <si>
    <t>povrch strechy a fasády bez úprav</t>
  </si>
  <si>
    <t>povrch střechy a fasády bez úprav</t>
  </si>
  <si>
    <t>green wall, climbing plants</t>
  </si>
  <si>
    <t>zelená stěna, popínavé rostliny</t>
  </si>
  <si>
    <t>zelená stena, popínavé rastliny</t>
  </si>
  <si>
    <t>roofs usually covered with gravel fraction 16/32 with a layer thickness of 4-6 cm</t>
  </si>
  <si>
    <t>strechy zasypané spravidla štrkom frakcie 16/32 o sile vrstvy 4-6 cm</t>
  </si>
  <si>
    <t>střechy zasypané zpravidla štěrkem frakce 16/32 o síle vrstvy 4-6 cm</t>
  </si>
  <si>
    <t>roofs with a technology of 100% rainwater retention</t>
  </si>
  <si>
    <t>střechy s technologií 100% zadržení srážkové vody</t>
  </si>
  <si>
    <t>strechy s technológiou 100% zadržania zrážkovej vody</t>
  </si>
  <si>
    <t>roof gardens and greenery on underground structures with the height of the vegetation substrate over 200 mm</t>
  </si>
  <si>
    <t>strešné záhrady a zeleň na podzemných konštrukciách s výškou vegetačného substrátu nad 200 mm</t>
  </si>
  <si>
    <t>střešní zahrady a zeleň na podzemních konstrukcích s výškou vegetačního substrátu nad 200 mm</t>
  </si>
  <si>
    <t>roof gardens and greenery on underground structures with the height of the vegetation substrate up to 200 mm - inclination from 35°</t>
  </si>
  <si>
    <t>strešné záhrady a zeleň na podzemných konštrukciách s výškou vegetačného substrátu do 200 mm - sklon od 35°</t>
  </si>
  <si>
    <t>střešní zahrady a zeleň na podzemních konstrukcích s výškou vegetačního substrátu do 200 mm - sklon 35°</t>
  </si>
  <si>
    <t>roof gardens and greenery on underground structures with the height of vegetation substrate up to 200 mm</t>
  </si>
  <si>
    <t>strešné záhrady a zeleň na podzemných konštrukciách s výškou vegetačného substrátu do 200 mm</t>
  </si>
  <si>
    <t>střešní zahrady a zeleň na podzemních konstrukcích s výškou vegetačního substrátu do 200 mm</t>
  </si>
  <si>
    <t>climbing plants on facades and structures</t>
  </si>
  <si>
    <t>popínavé rastliny na fasádach a konštrukciách</t>
  </si>
  <si>
    <t>popínavé rostliny na fasádách a konstrukcích</t>
  </si>
  <si>
    <t>surfaces of roofs and facades without vegetation cover and backfill</t>
  </si>
  <si>
    <t>povrchy striech a fasád bez vegetačného pokrytia a zásypov</t>
  </si>
  <si>
    <t>povrchy střech a fasád bez vegetačního pokrytí a zásypů</t>
  </si>
  <si>
    <t>roofs with gravel backfill</t>
  </si>
  <si>
    <t>strechy so štrkovým zásypom</t>
  </si>
  <si>
    <t>střechy se štěrkovým zásypem</t>
  </si>
  <si>
    <t>so-called blue resp. blue-green roofs</t>
  </si>
  <si>
    <t>tzv. modré resp. modrozelené strechy</t>
  </si>
  <si>
    <t>tzv. modré resp. modrozelené střechy</t>
  </si>
  <si>
    <t>Intensive roof gardens</t>
  </si>
  <si>
    <t>intenzivní střešní zahrady</t>
  </si>
  <si>
    <t>intenzívne strešné záhrady</t>
  </si>
  <si>
    <t>extensive roof gardens - flat roof</t>
  </si>
  <si>
    <t>extenzivní střešní zahrady - plochá střecha</t>
  </si>
  <si>
    <t>extenzívne strešné záhrady - plochá strecha</t>
  </si>
  <si>
    <t>B-GOV4 - Zajištění prevence proti živelním událostem</t>
  </si>
  <si>
    <t>B-GOV4 - Zaistenie prevencie proti živelným udalostiam</t>
  </si>
  <si>
    <t>B-GOV4 - Ensuring prevention against natural disasters</t>
  </si>
  <si>
    <t>ÁNO/NIE</t>
  </si>
  <si>
    <t>YES/NO</t>
  </si>
  <si>
    <t>Evaluation</t>
  </si>
  <si>
    <t>Hodnocení</t>
  </si>
  <si>
    <t>At least 3/4 of the inhabitants (households) of the building are registered in a system enabling quick information in case of emergency (SMS, e-mail).</t>
  </si>
  <si>
    <t>Najmenej 3/4 obyvatelov (domácností) budovy sú zaregistrované v systéme umožňujúcom rýchle informovanie v prípade núdzových či havarijných stavov (SMS, e-mail).</t>
  </si>
  <si>
    <t>Nejméně 3/4 obyvatel (domácností) budovy jsou registrovány v systému umožňujícím rychlé informování v případě nouzových či havarijních stavů (SMS, e-mail).</t>
  </si>
  <si>
    <t>The building has a manager who performs regular maintenance and inspections.</t>
  </si>
  <si>
    <t>Budova má správce, který provádí pravidelnou údržbu a kontrolu.</t>
  </si>
  <si>
    <t>Budova má správcu, ktorý prevádza pravidelnú údržbu a kontrolu.</t>
  </si>
  <si>
    <t>The building has common areas where it is possible to cool down in case of heat and gather in case of emergency.</t>
  </si>
  <si>
    <t>Budova má spoločné priestory, kde je možné sa v prípade horúčav ochladiť a v prípade núdzových situácií zhromaždiť.</t>
  </si>
  <si>
    <t>Budova má společné prostory, kde je možné se v případě veder ochladit a v případě mimořádných situací shromáždit.</t>
  </si>
  <si>
    <t>If the building does not have a backup power supply and is heated by solid fuel heaters connected to the heating system, this system is equipped with a cooling loop (prevention of damage when the pumps are disconnected).</t>
  </si>
  <si>
    <t>Ak budova nemá záložný zdroj prúdu a je vykurovaná ohrievačmi na pevné palivá pripojenými na vykurovaciu sústavu, je tento systém vybavený dochladzovacou slučkou (prevencia poškodenia pri odpojení čerpadiel).</t>
  </si>
  <si>
    <t>Pokud budova nemá záložní zdroj proudu a je vytápěna topidly na pevná paliva připojenými na otopnou soustavu, je tento systém vybaven dochlazovací smyčkou (prevence poškození při odpojení čerpadel).</t>
  </si>
  <si>
    <t>The building has two independent sources of water (at least service water).</t>
  </si>
  <si>
    <t xml:space="preserve">Budova má dva nezávislé zdroje vody (alespoň užitkové).                                                                                              </t>
  </si>
  <si>
    <t>Budova má dva nezávislé zdroje vody (aspoň úžitkovej).</t>
  </si>
  <si>
    <t>The building is equipped with a backup power supply / device for the production of electricity in case of blackout.</t>
  </si>
  <si>
    <t>Budova je vybavena záložním zdrojem / zařízením na výrobu elektrického proudu pro případ blackoutu.</t>
  </si>
  <si>
    <t>Budova je vybavená záložným zdrojom / zariadením na výrobu elektrického prúdu pre prípad blackoutu.</t>
  </si>
  <si>
    <t>Users are actively informed about the principles of securing the building against floods and the effects of extreme weather, they know the location of key technological elements of the building, have access to them and are willing to cooperate.</t>
  </si>
  <si>
    <t>Užívatelia sú aktívne informovaní o princípoch zabezpečenia budovy pred povodňou, záplavami a dopadmi extrémneho počasia, poznajú umiestnenie kľúčových technologických prvkov budovy, majú k nim prístup a sú ochotní spolupracovať.</t>
  </si>
  <si>
    <t>Uživatelé jsou aktivně informováni o principech zabezpečení budovy před povodní, záplavami a dopady extrémního počasí, znají umístění klíčových technologických prvků budovy, mají k nim přístup a jsou ochotni spolupracovat.</t>
  </si>
  <si>
    <t>Users are instructed on the principles of behavior in the event of natural disasters (securing property, disconnecting equipment, ensuring access to information, closing windows, etc.).</t>
  </si>
  <si>
    <t>Uživatelé jsou poučeni o principech chování při živelných katastrofách (zabezpečení majetku, odpojení zařízení, zajištění přístupu k informacím, zavření oken, atd.).</t>
  </si>
  <si>
    <t>Užívatelia sú poučení o princípoch chovania pri živelných katastrofách (zabezpečenie majetku, odpojenie zariadení, zaistenie prístupu k informáciám, zatvorenie okien, atď.).</t>
  </si>
  <si>
    <t>All common areas of the building are freely passable without barriers and obstacles in accordance with fire regulations. All main switches and caps are marked and accessible. The building is equipped with fire-fighting equipment in accordance with regulations.</t>
  </si>
  <si>
    <t>Všechny společné prostory budovy jsou v souladu s protipožárními předpisy volně průchodné bez bariér a překážek. Všechny hlavní vypínače a uzávěry jsou označeny a dostupné. Budova je vybavena protipožárním vybavením v souladu s předpisy.</t>
  </si>
  <si>
    <t xml:space="preserve">Všetky spoločné priestory budovy sú v súlade s protipožiarnymi predpismi voľne priechodné bez bariér a prekážok. Všetky hlavné vypínače a uzávery sú označené a dostupné. Budova je vybavená protipožiarnym vybavením v súlade s predpismi.                                                                        </t>
  </si>
  <si>
    <t>The building is equipped with fire sensors (in common areas and/or in flats) and flood sensors at buildings with risk of flooding.</t>
  </si>
  <si>
    <t>Budova je vybavena požárními senzory (ve společných prostorách a/nebo v bytech) a senzory zaplavení při budovách ohrožených zaplavením.</t>
  </si>
  <si>
    <t>Budova je vybavená požiarnymi senzormi (v spoločných priestoroch a/nebo v bytoch) a senzory zaplavenia pri budovách ohrozených zaplavením.</t>
  </si>
  <si>
    <t>The value from the B-POP4 indicator will be used to calculate emissions per capita:</t>
  </si>
  <si>
    <t xml:space="preserve">Pre výpočet emisií na osobu bude použitá hodnota z indikátora B-POP4: </t>
  </si>
  <si>
    <t>Pro výpočet emisí na osobu bude použita hodnota z indikátoru B-POP4:</t>
  </si>
  <si>
    <t>The value in B-POP4 is not specified, please add it.</t>
  </si>
  <si>
    <t>Hodnota v B-POP4 nie je uvedená, doplňte ju, prosím.</t>
  </si>
  <si>
    <t>Hodnota v B-POP4 není zadaná, prosím doplňte jí.</t>
  </si>
  <si>
    <t>if not entered, the value of 1 inhabitant is given</t>
  </si>
  <si>
    <t>při nezadání je dosazena hodnota  1 obyvatel</t>
  </si>
  <si>
    <t>ak nie je zadaná, ráta sa hodnota 1 obyvateľ</t>
  </si>
  <si>
    <t xml:space="preserve">Zvolená země: </t>
  </si>
  <si>
    <t xml:space="preserve">Zvolený štát: </t>
  </si>
  <si>
    <t xml:space="preserve">Selected Country: </t>
  </si>
  <si>
    <t xml:space="preserve">Automatically selected country: </t>
  </si>
  <si>
    <t xml:space="preserve">Automaticky zvolený štát: </t>
  </si>
  <si>
    <t xml:space="preserve">Automaticky zvolená země: </t>
  </si>
  <si>
    <t>Zdroj</t>
  </si>
  <si>
    <t>Source</t>
  </si>
  <si>
    <t>Fossil sources - natural gas</t>
  </si>
  <si>
    <t>Fosilní zdroje - zemní plyn</t>
  </si>
  <si>
    <t>Fosílne zdroje - zemný plyn</t>
  </si>
  <si>
    <t>Fossil sources - electricity (common mix)</t>
  </si>
  <si>
    <t>Fosilní zdroje - elektřina (běžný mix)</t>
  </si>
  <si>
    <t>Fosílne zdroje - elektrina (bežný mix)</t>
  </si>
  <si>
    <t>Fossil sources - coal (black and brown)</t>
  </si>
  <si>
    <t>Fosilní zdroje - uhlí (černé i hnědé)</t>
  </si>
  <si>
    <t>Fosílne zdroje - uhlie (čierne i hnedé)</t>
  </si>
  <si>
    <t>Fossil sources - fuel oil</t>
  </si>
  <si>
    <t>Fosilní zdroje - mazut, topný olej</t>
  </si>
  <si>
    <t>Fosílne zdroje - mazut, vykurovací olej</t>
  </si>
  <si>
    <t>Non-fossil sources - biogas, solar heat production, biowaste…</t>
  </si>
  <si>
    <t>Nefosílne zdroje - bioplyn, solárna výroba tepla, biopodpad…</t>
  </si>
  <si>
    <t>Nefosilní zdroje - bioplyn, solární výroba tepla, biopodpad…</t>
  </si>
  <si>
    <t>Non-fossil sources - electricity from RES</t>
  </si>
  <si>
    <t>Nefosilní zdroje - elektřina z OZE</t>
  </si>
  <si>
    <t>Nefosílne zdroje - elektrina z OZE</t>
  </si>
  <si>
    <t>Mix of sources</t>
  </si>
  <si>
    <t>Mix zdrojů</t>
  </si>
  <si>
    <t>Mix zdrojov</t>
  </si>
  <si>
    <t xml:space="preserve">B-EMI5 - Produkce tuhého komunálního odpadu v budově                           </t>
  </si>
  <si>
    <t>B-EMI5 - Produkcia tuhého komunálneho odpadu v budove</t>
  </si>
  <si>
    <t>B-EMI6 - Produkce odpadní vody v budově</t>
  </si>
  <si>
    <t>B-EMI6 - Produkcia odpadovej vody v budove</t>
  </si>
  <si>
    <t>MSW production in tonnes</t>
  </si>
  <si>
    <t>Produkcia TKO v tonách</t>
  </si>
  <si>
    <t>Produkce TKO v tunách</t>
  </si>
  <si>
    <t>Výroba elektřiny v budově z OZE</t>
  </si>
  <si>
    <t>Nesúlad údajov o oknách B-AD3 a zatienených oknách</t>
  </si>
  <si>
    <t>Inconsistency of data on B-AD3 windows and shaded windows</t>
  </si>
  <si>
    <t>Nesoulad údajů o oknech B-AD3 a zastíněných oknech</t>
  </si>
  <si>
    <t>Budova má pouze jeden typ oken (hodnoty oken se přebírají z B-AD3). Správné vyplnění B-AD3 je podmínkou pro výpočet této tabulky</t>
  </si>
  <si>
    <t>The building has only one type of windows (window values are taken from B-AD3). Correct completion of B-AD3 is a condition for the calculation of this table</t>
  </si>
  <si>
    <t>Typ oken v budově z B-AD3:</t>
  </si>
  <si>
    <t>Typ okien v budove z B-AD3:</t>
  </si>
  <si>
    <t>Type of windows in the building from B-AD3:</t>
  </si>
  <si>
    <t>No data given for the</t>
  </si>
  <si>
    <t>Nejsou uvedeny údaje  pro</t>
  </si>
  <si>
    <t>Žiadne údaje pre</t>
  </si>
  <si>
    <t>Nezadán typ oken v B-AD3</t>
  </si>
  <si>
    <t>Neurčený typ okna v B-AD3</t>
  </si>
  <si>
    <t>Unspecified window type in B-AD3</t>
  </si>
  <si>
    <t xml:space="preserve">extenzivní střešní zahrady - sklon 35° </t>
  </si>
  <si>
    <t xml:space="preserve">extenzívne strešné záhrady - sklon od 35° </t>
  </si>
  <si>
    <t xml:space="preserve">extensive roof gardens - inclination from 35° </t>
  </si>
  <si>
    <t>B-EMI4 - EMI4 Electricity production in a building from RES</t>
  </si>
  <si>
    <t>B-EMI4 - Výroba elektriny v budove z OZE</t>
  </si>
  <si>
    <t>Výběr jazyka pomocné tabulky je třeba provést  před zahájením jejího vyplňování. Změna jazykové mutace u vyplněné tabulky může mít vliv na výsledky.</t>
  </si>
  <si>
    <t>Výber jazyka pomocnej tabuľky sa musí vykonať pred začatím jej vypĺňania. Zmena jazyka vyplnenej tabuľky môže ovplyvniť výsledky.</t>
  </si>
  <si>
    <t>The language selection of the auxiliary table must be made before starting to fill it in. Changing the language of a completed table may affect the results.</t>
  </si>
  <si>
    <t>Původní okna (Uw  ≥ 2 W/m².K)</t>
  </si>
  <si>
    <t>Pôvodné okná (Uw ≥ 2 W/m².K)</t>
  </si>
  <si>
    <t>Original windows (Uw ≥ 2 W/m².K)</t>
  </si>
  <si>
    <t>Double glazed windows (Uw ≤ 2 W/m².K)</t>
  </si>
  <si>
    <t>Okná s dvojitým zasklením (Uw ≤ 2 W/m².K)</t>
  </si>
  <si>
    <t>Okna s dvojitým zasklením (Uw ≤  2 W/m².K)</t>
  </si>
  <si>
    <t>Okna s trojitým izolačním zasklením (Uw ≤ 1 W/m².K)</t>
  </si>
  <si>
    <t>Okná s trojitým izolačným zasklením (Uw ≤ 1 W/m².K)</t>
  </si>
  <si>
    <t>Windows with triple insulating glazing (Uw ≤ 1 W/m².K)</t>
  </si>
  <si>
    <t>plochy do 10 m² a zelené pásy, šířka menší než 3,5 m bez možnosti přítoku srážkové vody z okolních ploch, plochy silně zhutněné</t>
  </si>
  <si>
    <t>plochy do 10 m² a zelené pásy, šírka menšia ako 3,5 m bez možnosti prítoku zrážkovej vody z okolitých plôch,  plochy silno zhutnené</t>
  </si>
  <si>
    <t>areas up to 10 m² and green strips, width less than 3.5 m without the possibility of inflow of rainwater from the surrounding areas, areas heavily compacted</t>
  </si>
  <si>
    <t>grassed intensively mowed areas (more than 3 mowings per year) exceeding the dimensions of 10 m²</t>
  </si>
  <si>
    <t>zatravněné intenzivně kosené plochy (více než 3 kosení za rok) přesahující rozměry 10 m²</t>
  </si>
  <si>
    <t>zatrávnené intenzívne kosené plochy (viac ako 3 kosení za rok) presahujúce rozmery 10 m²</t>
  </si>
  <si>
    <t>‬‬‬‬₀₁₂₃₄₅₆₇₉</t>
  </si>
  <si>
    <t>Zanedbatelné riziko povodně (poloha mimo Q₁₀₀)</t>
  </si>
  <si>
    <t>Nízké riziko povodně (poloha v Q₁₀₀)</t>
  </si>
  <si>
    <t>Zóna so zanedbateľným rizikom povodne (poloha mimo Q₁₀₀)</t>
  </si>
  <si>
    <t>Zone with negligible flood risk (position outside Q₁₀₀)</t>
  </si>
  <si>
    <t>Zóna s nízkym rizikom povodne (územie tzv. storočnej vody, Q₁₀₀)</t>
  </si>
  <si>
    <t>Zone with low flood risk (so-called century-old water area, Q₁₀₀)</t>
  </si>
  <si>
    <t>Extrémní riziko povodně (poloha v Q₅)</t>
  </si>
  <si>
    <t>Extrémné riziko povodne (poloha na území päťročnej vody Q₅)</t>
  </si>
  <si>
    <t>Location in the territory of five-year-old water Q₅</t>
  </si>
  <si>
    <t>Střední riziko povodně (poloha v Q₅₀)</t>
  </si>
  <si>
    <t>Zóna so stredným rizikom povodne (územie tzv. päťdesiatročnej vody, Q₅₀)</t>
  </si>
  <si>
    <t>Zone with a medium risk of flooding (the area of the so-called fifty-year-old water, Q₅₀)</t>
  </si>
  <si>
    <t>Vysoké riziko povodně (poloha v Q₂₀)</t>
  </si>
  <si>
    <t>Zóna s vysokým rizikom povodne (územie tzv. dvadsaťročnej vody, Q₂₀)</t>
  </si>
  <si>
    <t>Zone with a high risk of floods (the area of so-called twenty-year-old water, Q₂₀)</t>
  </si>
  <si>
    <t>Produkce odpadní vody v m³</t>
  </si>
  <si>
    <t>Produkcia odpadovej vody v m³</t>
  </si>
  <si>
    <t>Wastewater production in m³</t>
  </si>
  <si>
    <t>m³</t>
  </si>
  <si>
    <t>Hodnota pro vložení do Klimaskenu</t>
  </si>
  <si>
    <t>Hodnota na vloženie do Klimasken</t>
  </si>
  <si>
    <t>Value to insert into Klimasken</t>
  </si>
  <si>
    <t>Zastavěná plocha (m²)</t>
  </si>
  <si>
    <t>Obytná plocha bytů (m²)</t>
  </si>
  <si>
    <t>Zastavaná plocha (m²)</t>
  </si>
  <si>
    <t>Obytná plocha bytov (m²)</t>
  </si>
  <si>
    <t>Living space of flats (m²)</t>
  </si>
  <si>
    <t>Built-up area (m²)</t>
  </si>
  <si>
    <t>Nejdřív musí být vyplněny údaje k indikátoru B-EX1 - Povodňové riziko</t>
  </si>
  <si>
    <t>Najprv je potrebné vyplniť údaje pre ukazovateľ B-EX1 - Povodňové riziko</t>
  </si>
  <si>
    <t>The data for indicator B-EX1 - Flood risk must be filled in first</t>
  </si>
  <si>
    <t>Množství srážek (mm/rok)</t>
  </si>
  <si>
    <t>Délka půdorysu včetně přesahů (m)</t>
  </si>
  <si>
    <t>Šířka půdorysu včetně přesahů (m)</t>
  </si>
  <si>
    <t>Využitelná plocha střechy (m²)</t>
  </si>
  <si>
    <t>Koeficient odtoku střechy</t>
  </si>
  <si>
    <t>Koeficient účinnosti filtru mechanických nečistot</t>
  </si>
  <si>
    <t>m³/rok</t>
  </si>
  <si>
    <t>Počet obyvatel v domě</t>
  </si>
  <si>
    <t>Celková spotřeba veškeré vody na jednoho obyvatele a den</t>
  </si>
  <si>
    <t>Koeficient využití srážkové vody</t>
  </si>
  <si>
    <t>Koeficient optimální velikosti</t>
  </si>
  <si>
    <t>Objem nádrže dle spotřeby vody Vv: 5.6 m3 ???</t>
  </si>
  <si>
    <t>Množství odvedené srážkové vody</t>
  </si>
  <si>
    <t>Koeficient optimální velikosti (-)</t>
  </si>
  <si>
    <t>Objem nádrže dle množství využitelné srážkové vody VP: 2.7 m3 ???</t>
  </si>
  <si>
    <t>Potřebný objem a optimalizace návrhu objemu nádrže</t>
  </si>
  <si>
    <t>Potřebný objem nádrže VN: 2.7 m3 ???</t>
  </si>
  <si>
    <t>Výsledek porovnání objemů</t>
  </si>
  <si>
    <t>Spotřeba srážkové vody je větší, než možnosti střechy.</t>
  </si>
  <si>
    <t>Zvětšete plochu střechy (pokud je to možné) nebo počítejte s častějším dopouštěním vody do systému (jiné než srážkové).</t>
  </si>
  <si>
    <t>Množstvo zrážok (mm/rok)</t>
  </si>
  <si>
    <t>Pôdorysná dĺžka vrátane presahov (m)</t>
  </si>
  <si>
    <t>Pôdorysná šírka vrátane presahov (m)</t>
  </si>
  <si>
    <t>Využiteľná plocha strechy (m²)</t>
  </si>
  <si>
    <t>Koeficient odtoku vody zo strechy</t>
  </si>
  <si>
    <t>Koeficient účinnosti mechanického filtra nečistôt</t>
  </si>
  <si>
    <t>Počet obyvateľov v dome</t>
  </si>
  <si>
    <t>Celková spotreba všetkej vody na obyvateľa a deň</t>
  </si>
  <si>
    <t>Koeficient využitia dažďovej vody</t>
  </si>
  <si>
    <t>Koeficient optimálnej veľkosti</t>
  </si>
  <si>
    <t>Objem nádrže podľa spotreby vody Vv: 5,6 m3 ???</t>
  </si>
  <si>
    <t>Objem nádrže podľa množstva využiteľnej dažďovej vody</t>
  </si>
  <si>
    <t>Množstvo odvedenej dažďovej vody</t>
  </si>
  <si>
    <t>Koeficient optimálnej veľkosti (-)</t>
  </si>
  <si>
    <t>Objem nádrže podľa množstva využiteľnej dažďovej vody VP: 2,7 m3 ????</t>
  </si>
  <si>
    <t>Požadovaný objem a optimalizácia konštrukcie nádrže</t>
  </si>
  <si>
    <t>Požadovaný objem nádrže VN: 2,7 m3 ????</t>
  </si>
  <si>
    <t>Výsledok porovnania objemu</t>
  </si>
  <si>
    <t>Spotreba dažďovej vody je väčšia ako kapacita strechy.</t>
  </si>
  <si>
    <t>Zväčšite plochu strechy (ak je to možné) alebo umožnite častejší prísun vody (okrem dažďovej).</t>
  </si>
  <si>
    <t>Amount of precipitation (mm/year)</t>
  </si>
  <si>
    <t>Ground plan length including overlaps (m)</t>
  </si>
  <si>
    <t>Plan width including overlaps (m)</t>
  </si>
  <si>
    <t>Usable roof area (m²)</t>
  </si>
  <si>
    <t>Roof runoff coefficient</t>
  </si>
  <si>
    <t>Coefficient of efficiency of the mechanical dirt filter</t>
  </si>
  <si>
    <t>m³/year</t>
  </si>
  <si>
    <t>Number of inhabitants in the house</t>
  </si>
  <si>
    <t>Total consumption of all water per occupant and day</t>
  </si>
  <si>
    <t>Coefficient of use of rainwater</t>
  </si>
  <si>
    <t>Coefficient of optimum size</t>
  </si>
  <si>
    <t>Tank volume by water consumption Vv: 5.6 m3 ???</t>
  </si>
  <si>
    <t>Amount of rainwater diverted</t>
  </si>
  <si>
    <t>Coefficient of optimum size (-)</t>
  </si>
  <si>
    <t>Tank volume by amount of usable rainwater VP: 2.7 m3 ????</t>
  </si>
  <si>
    <t>Required volume and optimisation of the tank design</t>
  </si>
  <si>
    <t>Tank volume by consumption</t>
  </si>
  <si>
    <t>Tank volume by amount of usable rainwater</t>
  </si>
  <si>
    <t>Required tank volume VN: 2.7 m3 ????</t>
  </si>
  <si>
    <t>Result of volume comparison</t>
  </si>
  <si>
    <t>Rainwater consumption is greater than the roof's capacity.</t>
  </si>
  <si>
    <t>Increase the roof area (if possible) or allow for more frequent water inputs (other than rainwater).</t>
  </si>
  <si>
    <t>Navrhovaná hodnota</t>
  </si>
  <si>
    <t>Plochá střecha</t>
  </si>
  <si>
    <t>Šikmá střecha</t>
  </si>
  <si>
    <t>Flat roof</t>
  </si>
  <si>
    <t>Pitched roof</t>
  </si>
  <si>
    <t>Plochá strecha</t>
  </si>
  <si>
    <t>Šikmá strecha</t>
  </si>
  <si>
    <t>Druh střechy</t>
  </si>
  <si>
    <t>Druh strechy</t>
  </si>
  <si>
    <t>Type of roof</t>
  </si>
  <si>
    <t>Suggested value</t>
  </si>
  <si>
    <t>Navrhnutá hodnota</t>
  </si>
  <si>
    <t>asfalt s násypem křemíku</t>
  </si>
  <si>
    <t>plast</t>
  </si>
  <si>
    <t>pozinkovaný plech</t>
  </si>
  <si>
    <t>asfalt so silikónovým násypom</t>
  </si>
  <si>
    <t>vegetačná strecha</t>
  </si>
  <si>
    <t>asphalt with silicon embankment</t>
  </si>
  <si>
    <t>plastic</t>
  </si>
  <si>
    <t>galvanised sheet metal</t>
  </si>
  <si>
    <t>pálené tašky</t>
  </si>
  <si>
    <t>betonové tašky</t>
  </si>
  <si>
    <t>břidlice</t>
  </si>
  <si>
    <t>šindel</t>
  </si>
  <si>
    <t>vegetační střecha</t>
  </si>
  <si>
    <t>burnt tiles</t>
  </si>
  <si>
    <t>concrete tiles</t>
  </si>
  <si>
    <t>slate</t>
  </si>
  <si>
    <t>shingles</t>
  </si>
  <si>
    <t>green roof</t>
  </si>
  <si>
    <t>pálené dlaždice</t>
  </si>
  <si>
    <t>betónové dlaždice</t>
  </si>
  <si>
    <t>bridlica</t>
  </si>
  <si>
    <t>šindle</t>
  </si>
  <si>
    <t>plastové</t>
  </si>
  <si>
    <t>Koef</t>
  </si>
  <si>
    <t>Materiál střešní krytiny</t>
  </si>
  <si>
    <t>Strešná krytina</t>
  </si>
  <si>
    <t>Roofing material</t>
  </si>
  <si>
    <t>Pomůcka - pomocný výpočet</t>
  </si>
  <si>
    <t>Pomôcka - pomocný výpočet</t>
  </si>
  <si>
    <t>Aid - auxiliary calculation</t>
  </si>
  <si>
    <t>koef</t>
  </si>
  <si>
    <t>Koeficient odtoku filtru mechanických nečistot udává výrobce. Pokud jej neznáte, zadejte obvyklou hodnotu 0,9</t>
  </si>
  <si>
    <t>The drain coefficient of the mechanical dirt filter is specified by the manufacturer. If you don't know it, enter the usual value of 0.9</t>
  </si>
  <si>
    <t xml:space="preserve">Koeficient odtoku mechanického filtra nečistôt udáva výrobca. Ak ju nepoznáte, zadajte obvyklú hodnotu 0,9
</t>
  </si>
  <si>
    <t>Množství zachycené srážkové vody Q (m³/rok):</t>
  </si>
  <si>
    <t>Množstvo zachytenej dažďovej vody Q (m³/rok):</t>
  </si>
  <si>
    <t>Amount of rainwater captured Q (m³/year):</t>
  </si>
  <si>
    <t>Potenciál zachycení srážkové vody</t>
  </si>
  <si>
    <t>Rainwater collection potential</t>
  </si>
  <si>
    <t>Potenciál na zachytávanie dažďovej vody</t>
  </si>
  <si>
    <t>Rainwater use coefficient</t>
  </si>
  <si>
    <t>Počet obyvatel v domácnosti (B-POP4)</t>
  </si>
  <si>
    <t>Počet obyvateľov v domácnosti (B-POP4)</t>
  </si>
  <si>
    <t>Number of inhabitants in the household (B-POP4)</t>
  </si>
  <si>
    <t>Celková spotřeba veškeré vody na jednoho obyvatele a den (l)</t>
  </si>
  <si>
    <t>Celková spotreba všetkej vody na obyvateľa a deň (l)</t>
  </si>
  <si>
    <t>Total consumption of all water per inhabitant per day (l)</t>
  </si>
  <si>
    <t>Obvyklá hodnota je 20</t>
  </si>
  <si>
    <t>Obvyklá hodnota je 0,5</t>
  </si>
  <si>
    <t>The usual value is 0,5</t>
  </si>
  <si>
    <t>The usual value is 20</t>
  </si>
  <si>
    <t>Objem nádrže dle spotřeby vody (m³)</t>
  </si>
  <si>
    <t>Objem nádrže podľa spotreby vody (m³)</t>
  </si>
  <si>
    <t>Tank volume by water consumption (m³)</t>
  </si>
  <si>
    <t>Objem nádrže dle množství využitelné srážkové vody (m³)</t>
  </si>
  <si>
    <t>Objem nádrže podľa množstva využiteľnej dažďovej vody (m³)</t>
  </si>
  <si>
    <t>Tank volume by amount of usable rainwater (m³)</t>
  </si>
  <si>
    <t>&lt;- Hodnotu zapište do buňky</t>
  </si>
  <si>
    <t>&lt;- Zapíšte hodnotu do bunky</t>
  </si>
  <si>
    <t>&lt;- Write the value in the cell</t>
  </si>
  <si>
    <t>EMI1_CZ</t>
  </si>
  <si>
    <t>EMI1_SK</t>
  </si>
  <si>
    <t>EMI1_1</t>
  </si>
  <si>
    <t>EMI1_2</t>
  </si>
  <si>
    <t>EMI1_3</t>
  </si>
  <si>
    <t>EMI3</t>
  </si>
  <si>
    <t>EMI4</t>
  </si>
  <si>
    <t>EMI5</t>
  </si>
  <si>
    <t>EMI6</t>
  </si>
  <si>
    <t>EMI8</t>
  </si>
  <si>
    <t>EMI9</t>
  </si>
  <si>
    <t>EMI10</t>
  </si>
  <si>
    <t>EMI13</t>
  </si>
  <si>
    <t>EMI14</t>
  </si>
  <si>
    <t>EMI15</t>
  </si>
  <si>
    <t>EMI16</t>
  </si>
  <si>
    <t>EMI17</t>
  </si>
  <si>
    <t>Spotřeba dálkového tepla - neznám převažující zdroj tepla ani emisní faktor dodávaného tepla (EMI1_1) a (EMI1_2)</t>
  </si>
  <si>
    <t>Převažující zdroj dálkového tepla (Yi)</t>
  </si>
  <si>
    <t>Emisní faktor dálkového tepla  (Zi)</t>
  </si>
  <si>
    <t xml:space="preserve">Je využívána kogenerace? </t>
  </si>
  <si>
    <t>Spotřeba elektřiny - Česko</t>
  </si>
  <si>
    <t>Spotřeba elektřiny - Slovensko</t>
  </si>
  <si>
    <t>Spotřeba elektřiny - Maďarsko</t>
  </si>
  <si>
    <t>Spotřeba elektřiny - Německo</t>
  </si>
  <si>
    <t>Spotřeba elektřiny - Polsko</t>
  </si>
  <si>
    <t>Spotřeba elektřiny - Rakousko</t>
  </si>
  <si>
    <t>Spotřeba elektřiny - Belgie</t>
  </si>
  <si>
    <t>Spotřeba elektřiny - Bulharsko</t>
  </si>
  <si>
    <t>Spotřeba elektřiny - Chorvatsko</t>
  </si>
  <si>
    <t>Spotřeba elektřiny - Kypr</t>
  </si>
  <si>
    <t>Spotřeba elektřiny - Dánsko</t>
  </si>
  <si>
    <t>Spotřeba elektřiny - Estonsko</t>
  </si>
  <si>
    <t>Spotřeba elektřiny - Francie</t>
  </si>
  <si>
    <t>Spotřeba elektřiny - Lotyšsko</t>
  </si>
  <si>
    <t>Spotřeba elektřiny - Litva</t>
  </si>
  <si>
    <t>Spotřeba elektřiny - Nizozemí</t>
  </si>
  <si>
    <t>Spotřeba elektřiny - Rumunsko</t>
  </si>
  <si>
    <t>Spotřeba elektřiny - Srbsko</t>
  </si>
  <si>
    <t>Spotřeba elektřiny - Slovinsko</t>
  </si>
  <si>
    <t>Spotřeba zemního plynu</t>
  </si>
  <si>
    <t>Dopravní výkon v individuální automobilové dopravě</t>
  </si>
  <si>
    <t>Spotřeba uhlí (hnědé, černé) v rámci administrativního území obce/čvrti</t>
  </si>
  <si>
    <t>Spotřeba dalších fosilních paliv (propan-butan, topný olej, další) v rámci administrativního území obce/čvrti</t>
  </si>
  <si>
    <t>Dopravní výkon v kolejové dopravě</t>
  </si>
  <si>
    <t>Dopravní výkon v autobusové dopravě</t>
  </si>
  <si>
    <t>Dopravní výkon v letecké dopravě</t>
  </si>
  <si>
    <t>Množství směsného komunálního odpadu zneškodněného skládkováním</t>
  </si>
  <si>
    <t>Množství směsného komunálního odpadu zneškodněného spalováním</t>
  </si>
  <si>
    <t xml:space="preserve">Celková produkce nebezpečného odpadu </t>
  </si>
  <si>
    <t xml:space="preserve">Produkce odpadní vody </t>
  </si>
  <si>
    <t>Množství biologicky rozložitelného komunálního odpadu (BRKO)</t>
  </si>
  <si>
    <t>Xi</t>
  </si>
  <si>
    <t xml:space="preserve">Zemní plyn </t>
  </si>
  <si>
    <t>Uhlí</t>
  </si>
  <si>
    <t>Mazut</t>
  </si>
  <si>
    <t>Biomasa</t>
  </si>
  <si>
    <t>Mix uhlí a biomasa</t>
  </si>
  <si>
    <t>Ano/ne</t>
  </si>
  <si>
    <t>Ano</t>
  </si>
  <si>
    <t>Ne</t>
  </si>
  <si>
    <t>GJ</t>
  </si>
  <si>
    <t>osobokilometry</t>
  </si>
  <si>
    <t>kg</t>
  </si>
  <si>
    <t>m3</t>
  </si>
  <si>
    <t>Zi</t>
  </si>
  <si>
    <t>CZE</t>
  </si>
  <si>
    <t>SVK</t>
  </si>
  <si>
    <t>HU</t>
  </si>
  <si>
    <t>DE</t>
  </si>
  <si>
    <t>PL</t>
  </si>
  <si>
    <t>AT</t>
  </si>
  <si>
    <t>BEL</t>
  </si>
  <si>
    <t>BG</t>
  </si>
  <si>
    <t>CRO</t>
  </si>
  <si>
    <t>CYP</t>
  </si>
  <si>
    <t>DEN</t>
  </si>
  <si>
    <t>EST</t>
  </si>
  <si>
    <t>LAT</t>
  </si>
  <si>
    <t>LIT</t>
  </si>
  <si>
    <t>NET</t>
  </si>
  <si>
    <t>ROM</t>
  </si>
  <si>
    <t>SERB</t>
  </si>
  <si>
    <t>SLO</t>
  </si>
  <si>
    <t>Slovak Republic</t>
  </si>
  <si>
    <t>Hungary</t>
  </si>
  <si>
    <t>Deutschland</t>
  </si>
  <si>
    <t>Poland</t>
  </si>
  <si>
    <t>Austria</t>
  </si>
  <si>
    <t>Belarus</t>
  </si>
  <si>
    <t>Bulgaria</t>
  </si>
  <si>
    <t>Croatia</t>
  </si>
  <si>
    <t>Cyprus</t>
  </si>
  <si>
    <t>Denmark</t>
  </si>
  <si>
    <t>Estonia</t>
  </si>
  <si>
    <t>France</t>
  </si>
  <si>
    <t>Latvia</t>
  </si>
  <si>
    <t>Lithaunia</t>
  </si>
  <si>
    <t>Netherlands</t>
  </si>
  <si>
    <t>Romania</t>
  </si>
  <si>
    <t>Serbia</t>
  </si>
  <si>
    <t>Slovenia</t>
  </si>
  <si>
    <t>Maďarsko</t>
  </si>
  <si>
    <t>Nemecko</t>
  </si>
  <si>
    <t>Poľsko</t>
  </si>
  <si>
    <t>Rakúsko</t>
  </si>
  <si>
    <t>Bielorusko</t>
  </si>
  <si>
    <t>Bulharsko</t>
  </si>
  <si>
    <t>Chorvátsko</t>
  </si>
  <si>
    <t>Dánsko</t>
  </si>
  <si>
    <t>Estónsko</t>
  </si>
  <si>
    <t>Francúzsko</t>
  </si>
  <si>
    <t>Lotyšsko</t>
  </si>
  <si>
    <t>Litva</t>
  </si>
  <si>
    <t>Holandsko</t>
  </si>
  <si>
    <t>Rumunsko</t>
  </si>
  <si>
    <t>Srbsko</t>
  </si>
  <si>
    <t>Slovinsko</t>
  </si>
  <si>
    <t>Německo</t>
  </si>
  <si>
    <t>Polsko</t>
  </si>
  <si>
    <t>Rakousko</t>
  </si>
  <si>
    <t>Bělorusko</t>
  </si>
  <si>
    <t>Chorvatsko</t>
  </si>
  <si>
    <t>Kypr</t>
  </si>
  <si>
    <t>Estonsko</t>
  </si>
  <si>
    <t>Francie</t>
  </si>
  <si>
    <t>Nizozemsko</t>
  </si>
  <si>
    <t xml:space="preserve">Natural gas </t>
  </si>
  <si>
    <t>Coal</t>
  </si>
  <si>
    <t>Fuel oil</t>
  </si>
  <si>
    <t>Biomass</t>
  </si>
  <si>
    <t>Mix of coal and biomass</t>
  </si>
  <si>
    <t xml:space="preserve">Zemný plyn </t>
  </si>
  <si>
    <t>Uhlie</t>
  </si>
  <si>
    <t>Palivový olej</t>
  </si>
  <si>
    <t>Zmes uhlia a biomasy</t>
  </si>
  <si>
    <t>₂₂</t>
  </si>
  <si>
    <t>Zadajte hodnoty podľa kalkulačky TZB.info alebo použite nasledujúcu tabuľku výpočtu</t>
  </si>
  <si>
    <t>Vložte hodnoty dle výpočtové kalkulačky TZB.info nebo použít výpočtovou tabulku níže</t>
  </si>
  <si>
    <t>Enter values according to the TZB.info calculator or use the calculation table below</t>
  </si>
  <si>
    <t>Odrazivá plocha střechy (HBW &gt;= 35)</t>
  </si>
  <si>
    <t>Odrazivá plocha fasády (HBW &gt;= 35)</t>
  </si>
  <si>
    <t>Odrazová plocha fasády (HBW &gt;= 35)</t>
  </si>
  <si>
    <t>Odrazová plocha strechy (HBW &gt;= 35)</t>
  </si>
  <si>
    <t>Reflective roof surface (HBW &gt;= 35)</t>
  </si>
  <si>
    <t>Reflective surface of the facade (HBW &gt;= 35)</t>
  </si>
  <si>
    <t>Barevný vzorník a hodnoty indexu HBW</t>
  </si>
  <si>
    <t>Colour swatch and HBW index values</t>
  </si>
  <si>
    <t>Vzorka farieb a hodnoty indexu HBW</t>
  </si>
  <si>
    <t>https://issuu.com/e-weber/docs/vzorkovnik_weber.color_line/9</t>
  </si>
  <si>
    <t>Az építés éve</t>
  </si>
  <si>
    <t xml:space="preserve">Az épület jelentős felújításának éve                                                                                                                                                  </t>
  </si>
  <si>
    <t>Emeletek száma</t>
  </si>
  <si>
    <t>Lakosok száma</t>
  </si>
  <si>
    <t xml:space="preserve">Beépített terület </t>
  </si>
  <si>
    <t>Lakóterület (lakások)</t>
  </si>
  <si>
    <t>Árvízveszély</t>
  </si>
  <si>
    <t>A műszaki infrastruktúrát fenyegető árvízveszély</t>
  </si>
  <si>
    <t>Szélsőséges meteorológiai események által az épületet fenyegető veszélyek</t>
  </si>
  <si>
    <t>Az éves átlagos léghőmérséklet különbsége a vizsgált évben a hosszú távú átlaghoz képest</t>
  </si>
  <si>
    <t>Külső falak hővédelme - a falak hőszigetelő anyagának uralkodó vastagsága (mm)</t>
  </si>
  <si>
    <t>A tető hővédelme</t>
  </si>
  <si>
    <t>Átlátszó szerkezet</t>
  </si>
  <si>
    <t>Árnyékoló szerkezetek és szerkezetek általi árnyékolás</t>
  </si>
  <si>
    <t>Árnyékolás az építmények és a zöldfelületek által</t>
  </si>
  <si>
    <t>Vegetált és kavicsos tetők</t>
  </si>
  <si>
    <t>Színes design</t>
  </si>
  <si>
    <t>Hűtőberendezés - válassza ki a ház hűtési módját</t>
  </si>
  <si>
    <t>Szellőztető berendezés</t>
  </si>
  <si>
    <t>Az esővíztárolási kapacitás kiépítése</t>
  </si>
  <si>
    <t>Az épület műszaki biztonsága árvíz és özönvízszerű esőzések ellen</t>
  </si>
  <si>
    <t>Az esővíz visszatartása az épület körül</t>
  </si>
  <si>
    <t>Esővízgyűjtés az épületen</t>
  </si>
  <si>
    <t>A természeti katasztrófák elleni megelőzés biztosítása</t>
  </si>
  <si>
    <t>Hőfogyasztás az épületben - hőforrás az épületben</t>
  </si>
  <si>
    <t>Épület hőfogyasztása - távoli forrás</t>
  </si>
  <si>
    <t>Villamosenergia-fogyasztás az épületben</t>
  </si>
  <si>
    <t>Villamosenergia-termelés az épületben megújuló energiaforrásokból</t>
  </si>
  <si>
    <t>Települési szilárd hulladék keletkezése az épületben</t>
  </si>
  <si>
    <t>Szennyvíztermelés az épületben</t>
  </si>
  <si>
    <t>nincs megadva</t>
  </si>
  <si>
    <t>Kód (link a laphoz)</t>
  </si>
  <si>
    <t>Klimasken az épületekhez</t>
  </si>
  <si>
    <t>Az épület megnevezése:</t>
  </si>
  <si>
    <t>Cím:</t>
  </si>
  <si>
    <t>Beírt/számított érték</t>
  </si>
  <si>
    <t>Skála (A-E)</t>
  </si>
  <si>
    <t>Lehetséges hiányos adatok (!)</t>
  </si>
  <si>
    <t>Nincs megadva/nem teljes</t>
  </si>
  <si>
    <t>Hiányos bemenetek</t>
  </si>
  <si>
    <t>nem számítható ki</t>
  </si>
  <si>
    <t>Épület azonosítása</t>
  </si>
  <si>
    <t>B-POP1 - Az építés éve</t>
  </si>
  <si>
    <t xml:space="preserve">B-POP2 - Az épület nagyobb felújításának éve                                          </t>
  </si>
  <si>
    <t>B-POP3 - Emeletek száma</t>
  </si>
  <si>
    <t>B-POP4 - A lakók száma</t>
  </si>
  <si>
    <t>B-POP5 - Beépített terület</t>
  </si>
  <si>
    <t>B-POP6 - Nappali (apartmanok)</t>
  </si>
  <si>
    <t>B-EX1 - Árvízveszély</t>
  </si>
  <si>
    <t>B-EX2 - Az infrastruktúrát fenyegető árvízkockázat</t>
  </si>
  <si>
    <t>B-EX3 - Szélsőséges időjárási események által a szerkezetre jelentett fenyegetés</t>
  </si>
  <si>
    <t>B-EX4 - A levegő éves átlaghőmérsékletének különbsége a vizsgált évben a hosszú távú átlaghoz képest</t>
  </si>
  <si>
    <t xml:space="preserve">B-AD1 - Külső falak hővédelme                                                                    </t>
  </si>
  <si>
    <t>B-AD2 - A tető hővédelme</t>
  </si>
  <si>
    <t>B-AD3 - Átlátszó kivitel</t>
  </si>
  <si>
    <t>B-AD4 - Árnyékoló szerkezetek és szerkezetek általi árnyékolás</t>
  </si>
  <si>
    <t>B-AD5 - Homlokzati árnyékolás szerkezetekkel és zöldfelületekkel</t>
  </si>
  <si>
    <t>B-AD6 - Vegetált és kavicsos tetők</t>
  </si>
  <si>
    <t>B-AD7 Tető és homlokzat színtervezése</t>
  </si>
  <si>
    <t>B-AD8 - Hűtőberendezés</t>
  </si>
  <si>
    <t>B-AD9 - Szellőzőberendezés</t>
  </si>
  <si>
    <t>B-AD10 - Az esővíztárolási kapacitás kiépítése</t>
  </si>
  <si>
    <t>B-GOV1 - Az épület műszaki biztonsága árvíz és özönvízszerű esőzések ellen</t>
  </si>
  <si>
    <t>B-GOV2 - Az esővíz visszatartása az épület körül</t>
  </si>
  <si>
    <t>B-GOV3 - Esővízvisszatartás az épületen</t>
  </si>
  <si>
    <t>B-GOV4 - A természeti katasztrófák elleni védekezés biztosítása</t>
  </si>
  <si>
    <t>B-EMI1 - Épület hőfogyasztása - épület forrása</t>
  </si>
  <si>
    <t>B-EMI2 - Épület hőfogyasztása - távoli forrás</t>
  </si>
  <si>
    <t>B-EMI3 - Az épület villamosenergia-fogyasztása</t>
  </si>
  <si>
    <t>B-EMI4 Villamosenergia-termelés az épületben megújuló energiaforrásokból</t>
  </si>
  <si>
    <t xml:space="preserve">B-EMI5 - Települési szilárd hulladék keletkezése az épületben                           </t>
  </si>
  <si>
    <t>B-EMI6 - Szennyvíztermelés az épületben</t>
  </si>
  <si>
    <t>IGEN</t>
  </si>
  <si>
    <t>Az épületre a következők vonatkoznak: (Igen/Nem)</t>
  </si>
  <si>
    <t>A házat az elmúlt 5 évben elárasztották.</t>
  </si>
  <si>
    <t>Az épületnek van egy földszint alatti része, amely nem rendelkezik árvízelvezető berendezésekkel.</t>
  </si>
  <si>
    <t>Az épület technológiai helyisége/fő technológiai berendezése az alagsorban található.</t>
  </si>
  <si>
    <t>Az épület határának közelében (5 m-en belül) a pinceszint felett vannak lefolyók.</t>
  </si>
  <si>
    <t>A csapadék- és/vagy szennyvízelvezető csövek nem felelnek meg a profilra és a lejtésre vonatkozó valamennyi előírásnak.</t>
  </si>
  <si>
    <t>A tetőlefolyók és ereszcsatorna kivezetések nincsenek ráccsal ellátva.</t>
  </si>
  <si>
    <t>Az épület csapadékcsatornára van csatlakoztatva, és a csatlakozás nincs felszerelve visszaáramlásgátlóval.</t>
  </si>
  <si>
    <t xml:space="preserve">A csapadékcsatorna-csatlakozás nem rendelkezik visszaáramlásgátlóval.                                                                                                                                   </t>
  </si>
  <si>
    <t>A fő elektromos berendezések (főkapcsoló, házi megszakítók, biztosítékszekrény, villamossági főkapcsoló, kapcsolótáblák, HDO stb.) a pincében vannak elhelyezve, a kész szint felett 2,5 m-nél alacsonyabban.</t>
  </si>
  <si>
    <t>A fő gázelzáró és a gázmérő az alagsorban található.</t>
  </si>
  <si>
    <t>Válassza ki a ház árvízkockázatát</t>
  </si>
  <si>
    <t>Elhanyagolható árvízkockázat (Q₁₀-n kívüli elhelyezkedés)</t>
  </si>
  <si>
    <t>Alacsony árvízkockázat (Q₁₀₀₀-n belüli elhelyezkedés)</t>
  </si>
  <si>
    <t>Közepes árvízkockázat (pozíció Q₅₀)</t>
  </si>
  <si>
    <t>Magas árvízkockázat (Q₂₀-ban megadott pozíció)</t>
  </si>
  <si>
    <t>Szélsőséges árvízkockázat (Q₅-ban kifejezve)</t>
  </si>
  <si>
    <t>Az épületet működő és rendszeresen ellenőrzött villámhárítóval szerelték fel.</t>
  </si>
  <si>
    <t>Az épülethez vezető bekötőút egész évben járható (járhatóságát az önkormányzat műszaki szolgálatai tartják fenn).</t>
  </si>
  <si>
    <t>Az épület 10 méteres körzetében nincsenek száraz ágú vagy sérült szerkezetű fák teteje vagy koronája; az épülethez 10 méternél közelebb eső fákat rendszeresen karbantartják és ellenőrzik.</t>
  </si>
  <si>
    <t>Az épület elektromos csatlakozása földalatti vezetékeken keresztül történik.</t>
  </si>
  <si>
    <t>Minden közműcsatlakozás fagymentes mélységben található; a fő vízelzáró egész évben fagyvédett.</t>
  </si>
  <si>
    <t>Rendszeres ellenőrzéseket végeznek annak biztosítására, hogy az épülethez kapcsolódó érzékeny technológiák (PV, napkollektorok, napellenzők) biztosítva legyenek a széllökések, jégeső és viharok ellen, vagy ne legyenek jelen az épületen.</t>
  </si>
  <si>
    <t>Önkormányzat</t>
  </si>
  <si>
    <t>Kibocsátási mutatók - országspecifikáció</t>
  </si>
  <si>
    <t>Egyes kibocsátási tényezők országonként jelentősen eltérnek. Kérjük, adja meg az országot, amelyre vonatkozóan a számítást el kell végezni.</t>
  </si>
  <si>
    <t>Ha nem adja meg az országot, akkor a Cseh Köztársaságra vonatkozó értékeket vesszük figyelembe.</t>
  </si>
  <si>
    <t>Cseh Köztársaság</t>
  </si>
  <si>
    <t>Szlovákia</t>
  </si>
  <si>
    <t>Egyéb országok - tartalék</t>
  </si>
  <si>
    <t>egyéb országok - tartalék</t>
  </si>
  <si>
    <t>következő ország - tartalék</t>
  </si>
  <si>
    <t>Nyelv</t>
  </si>
  <si>
    <t>Változás</t>
  </si>
  <si>
    <t>A levegő éves átlaghőmérsékletének különbsége a vizsgált évben a hosszú távú átlaghoz képest (°C)</t>
  </si>
  <si>
    <t>Többszörös választás</t>
  </si>
  <si>
    <t>Megfelelő?</t>
  </si>
  <si>
    <t>Paraméter</t>
  </si>
  <si>
    <t>A homlokzati terület %-a, amelyet külső szerkezet vagy érett lombhullató vagy vegyes lombozat árnyékol.</t>
  </si>
  <si>
    <t>Kiterjedt tető</t>
  </si>
  <si>
    <t>Intenzív tető</t>
  </si>
  <si>
    <t>Kavicsos felület</t>
  </si>
  <si>
    <t>Egyéb / hagyományos tetőfedés</t>
  </si>
  <si>
    <t>hibás/hiányos bejáratok</t>
  </si>
  <si>
    <t>Szilárdhulladék-termelés tonnában</t>
  </si>
  <si>
    <t>Szennyvíztermelés m³-ben</t>
  </si>
  <si>
    <t>A segédtábla nyelvének kiválasztását a kitöltés megkezdése előtt kell elvégezni. A kitöltött táblázat nyelvének megváltoztatása befolyásolhatja az eredményeket.</t>
  </si>
  <si>
    <t>Súgó - számítási támogatás</t>
  </si>
  <si>
    <t>Navigáció</t>
  </si>
  <si>
    <t>Indikátor módszer lap</t>
  </si>
  <si>
    <t xml:space="preserve">Épület azonosítása </t>
  </si>
  <si>
    <t>Az épület címe</t>
  </si>
  <si>
    <t>Írja be az építés évét</t>
  </si>
  <si>
    <t>Írja be az épület utolsó nagyobb felújításának évét.</t>
  </si>
  <si>
    <t>Adja meg az épület emeleteinek számát</t>
  </si>
  <si>
    <t>Az épületben tartózkodók száma</t>
  </si>
  <si>
    <t>Beépített terület (m²)</t>
  </si>
  <si>
    <t>Lakások lakóterülete (m²)</t>
  </si>
  <si>
    <t>Mutató értéke</t>
  </si>
  <si>
    <t xml:space="preserve">szabályos alaprajzú épület támpillérek és alakítás nélkül                                                                                                                                             </t>
  </si>
  <si>
    <t>vízszigetelés a teljes tetőfelületen (lapos vagy ferde tető)</t>
  </si>
  <si>
    <t>tető vízszigetelés hiányosságok nélkül</t>
  </si>
  <si>
    <t>működőképes és elegendő kapacitás az esővíz elvezetésére a teljes tetőfelületről</t>
  </si>
  <si>
    <t>az épület vagy az udvar fedése egy másik, esővízelvezető tetővel</t>
  </si>
  <si>
    <t>a bejáratok és bejáratok (beleértve a pince- és alagsori bejáratokat is) túlnyomó számának tetőfedése</t>
  </si>
  <si>
    <t>az épületnyílások (ajtók, ablakok) felületének túlnyomó része a talajszint felett van</t>
  </si>
  <si>
    <t>az alapok vízszigetelése vízszintesen a teljes alaprajzban</t>
  </si>
  <si>
    <t>az alapok függőleges vízszigetelése a teljes kerület körül</t>
  </si>
  <si>
    <t>speciális vízszigetelés alapítványok védelme a nyomott víz ellen</t>
  </si>
  <si>
    <t>a környező terep (földterület) a háztól nagyrészt lejtősen távolodik.</t>
  </si>
  <si>
    <t>túlnyomórészt lejtős járdák és a szomszédos burkolt területek az épület irányában legalább 2 %-kal lejtősebbek.</t>
  </si>
  <si>
    <t>szomszédos ereszcsatornás járdák, a vízelvezetés a kerület túlnyomó részén történik</t>
  </si>
  <si>
    <t>pincék és pincék bejáratainak biztosítása, pl. a talaj megemelésével, hogy megakadályozzák a közvetlen elárasztást megfelelő ereszcsatornákkal stb.</t>
  </si>
  <si>
    <t>rögzített árvízkapuk és zsilipek</t>
  </si>
  <si>
    <t>Néhány paraméter (</t>
  </si>
  <si>
    <t>összesen) nincsenek kitöltve. Elfelejtetted?</t>
  </si>
  <si>
    <t>A külső falak hővédelme - a falak hőszigetelő anyagának túlnyomó vastagsága (mm)</t>
  </si>
  <si>
    <t>Hőszigetelés a tetőn - a tető hőszigetelő anyagának túlnyomó vastagsága (mm)</t>
  </si>
  <si>
    <t>Az épületnek csak egyféle ablaktípusa van</t>
  </si>
  <si>
    <t>Az épületben lévő ablakok típusa (válassza ki)</t>
  </si>
  <si>
    <t>Eredeti ablakok (Uw ≥ 2 W/m².K)</t>
  </si>
  <si>
    <t>Dupla üvegezésű ablakok (Uw ≤ 2 W/m².K)</t>
  </si>
  <si>
    <t>Háromrétegű üvegezésű ablakok (Uw ≤ 1 W/m².K)</t>
  </si>
  <si>
    <t>Az ablakfelület aránya:</t>
  </si>
  <si>
    <t>Kelet</t>
  </si>
  <si>
    <t>nyugat</t>
  </si>
  <si>
    <t>Észak</t>
  </si>
  <si>
    <t>Dél</t>
  </si>
  <si>
    <t>Összesen</t>
  </si>
  <si>
    <t>Az ablaktípust ki kell választani, és az arányok összegének 100%-nak kell lennie!</t>
  </si>
  <si>
    <t>Az épületnek csak egy ablaktípusa van (az ablakértékek a B-AD3-ból származnak). A B-AD3 helyes kitöltése előfeltétele e táblázat kiszámításának.</t>
  </si>
  <si>
    <t>Az épület ablakainak típusa a B-AD3-tól:</t>
  </si>
  <si>
    <t>Az ablakok aránya:</t>
  </si>
  <si>
    <t>Ebből az árnyékolatlan ablakok aránya:</t>
  </si>
  <si>
    <t>Visszaverő tetőfelület (HBW &gt;= 35)</t>
  </si>
  <si>
    <t>A homlokzat fényvisszaverő felülete (HBW &gt;= 35)</t>
  </si>
  <si>
    <t>Nincs hűtőrendszer</t>
  </si>
  <si>
    <t>Passzív hűtés (a szerkezeten lévő alacsony hőmérsékletű áramkörökön keresztül)</t>
  </si>
  <si>
    <t>Szellőztető rendszer hővisszanyeréssel (bypassal)</t>
  </si>
  <si>
    <t>Szellőztető rendszer beépített hűtővel</t>
  </si>
  <si>
    <t>Szellőztető rendszer földi hőcserélővel</t>
  </si>
  <si>
    <t>Légkondicionálás (split klíma)</t>
  </si>
  <si>
    <t>Válasszon a listából</t>
  </si>
  <si>
    <t>Szellőzőrendszer nélkül</t>
  </si>
  <si>
    <t>Szellőztető rendszer hővisszanyeréssel</t>
  </si>
  <si>
    <t>Szellőztető rendszer hővisszanyeréssel és passzív hűtéssel</t>
  </si>
  <si>
    <t>Passzív hűtés (a szerkezetben lévő alacsony hőmérsékletű áramkörökön keresztül)</t>
  </si>
  <si>
    <t>Szellőztető rendszer hővisszanyeréssel és aktív hűtéssel</t>
  </si>
  <si>
    <t>Online számológép HVAC.info</t>
  </si>
  <si>
    <t>Tartály térfogata a fogyasztás szerint</t>
  </si>
  <si>
    <t>Tartály térfogata a felhasználható esővíz mennyiségének megfelelően</t>
  </si>
  <si>
    <t>A telepített esővízgyűjtő tartályok térfogata</t>
  </si>
  <si>
    <t>Kiszámított érték</t>
  </si>
  <si>
    <t>Adja meg az értékeket a TZB.info kalkulátorral, vagy használja az alábbi számítási táblázatot.</t>
  </si>
  <si>
    <t>Kód:</t>
  </si>
  <si>
    <t>A felület/tárgy leírása</t>
  </si>
  <si>
    <t>Meghatározás</t>
  </si>
  <si>
    <t>Terület</t>
  </si>
  <si>
    <t>Áthatolhatatlan burkolt felületek</t>
  </si>
  <si>
    <t>térkövezett terület, kavicsos terület</t>
  </si>
  <si>
    <t>burkolt terület vízáteresztő burkolattal, burkolatlan területek növénytakaró nélkül</t>
  </si>
  <si>
    <t>kis terület, folyamatos növénytakaróval és a mélyebb rétegekbe való beszivárgás lehetőségével, erősen tömörödött</t>
  </si>
  <si>
    <t>füvesített terület intenzív karbantartással és szabad vízelvezetéssel a mélyebb rétegekbe</t>
  </si>
  <si>
    <t>extenzíven karbantartott füves terület, lágyszárú és fás szárú vegyes növényzettel borított terület</t>
  </si>
  <si>
    <t>hatalmas fák - vegyes (tűlevelű és lombhullató), meglévő vegyes fafajok</t>
  </si>
  <si>
    <t>kisebb termetű, többnyire lombhullató fák</t>
  </si>
  <si>
    <t>1 m-nél magasabb bokrokkal borított területek</t>
  </si>
  <si>
    <t>föld alatti gyökérzet a fák számára</t>
  </si>
  <si>
    <t>az esővízgyűjtés elősegítése érdekében átalakított területek</t>
  </si>
  <si>
    <t>HDV tárgyak a vízlefolyás szabályozására</t>
  </si>
  <si>
    <t>HDV felszíni tárgyak a vízgyűjtés lehetővé tétele érdekében</t>
  </si>
  <si>
    <t>növénytakaró és esővízgyűjtés nélküli területek</t>
  </si>
  <si>
    <t>15 mm-nél kisebb hézagú kavicságyon, 10 mm/óránál kisebb áteresztőképességű agyagos területeken történő burkolás</t>
  </si>
  <si>
    <t>vízáteresztő burkolt felületek és burkolatok, amelyek vízáteresztő hézagja több mint 15 mm, kavics- és homokfelületek, amelyek vízáteresztő képessége több mint 10 mm/óra</t>
  </si>
  <si>
    <t>legfeljebb 10 m²-es területek és zöldövezetek, 3,5 m-nél kisebb szélességgel, a környező területekről beáramló csapadékvíz lehetősége nélkül, erősen tömörített területek.</t>
  </si>
  <si>
    <t>10 m²-t meghaladó, intenzíven kaszált füvesített területek (évente több mint 3 kaszálás)</t>
  </si>
  <si>
    <t>fokozott biológiai sokféleséggel vagy beszivárgási kapacitással rendelkező növényzettel borított területek</t>
  </si>
  <si>
    <t xml:space="preserve">A hatalmas fák a csapadék 80%-át felfogják, a tűlevelű fák hatékonyabbak a csapadék felfogásában, mivel a lombhullató fák lombtalan állapotukban csak 10-30%-át fogják fel (Xiao, McPherson, 2002 Calder et al. 2008 [1]). </t>
  </si>
  <si>
    <t>A kis fák csak 15%-ot, a tűlevelű fák hatékonyabbak a csapadék megkötésében, mert a lombtalan állapotban lévő lombhullató fák csak 10-30%-ot kötnek meg (Xiao, McPherson, 2002 Calder et al. 2008 [2]).</t>
  </si>
  <si>
    <t>Gyökérsejtek, szerkezeti szubsztrátum, gyökérhidak és útvonalak optimális vízháztartással</t>
  </si>
  <si>
    <t>H alakú területek, amelyek domborzatát és tömörítési arányát úgy módosították, hogy lehetővé tegyék a környező területekről származó víz beszivárgását, egyéb olyan területek, ahol műszaki vagy technológiai intézkedéseket hoztak a csapadékvíz beszivárgásának elősegítése érdekében.</t>
  </si>
  <si>
    <t>szabályozott lefolyású vízelvezető csatornák és vízelvezető csatornák</t>
  </si>
  <si>
    <t>biztonsági túlfolyóval ellátott vízelvezető csatornák és vízelvezető csatornák</t>
  </si>
  <si>
    <t>tető- és homlokzatfelület módosítás nélkül</t>
  </si>
  <si>
    <t>zöld fal, kúszónövények</t>
  </si>
  <si>
    <t>extenzív tetőkertek - lapos tető</t>
  </si>
  <si>
    <t xml:space="preserve">extenzív tetőkertek - 35°-os lejtés </t>
  </si>
  <si>
    <t>intenzív tetőkertek</t>
  </si>
  <si>
    <t>kék vagy kékeszöld tető</t>
  </si>
  <si>
    <t>kavicsos hátsó feltöltésű tetők</t>
  </si>
  <si>
    <t>tetőfelületek és homlokzatok növénytakaró és feltöltés nélkül</t>
  </si>
  <si>
    <t>homlokzati és építményi kúszónövények</t>
  </si>
  <si>
    <t>tetőkertek és zöldfelületek földalatti építményeken, a növényzet szubsztrátjának magassága legfeljebb 200 mm lehet</t>
  </si>
  <si>
    <t>Tetőkertek és zöldfelületek földalatti szerkezeteken, legfeljebb 200 mm magasságú termesztőközeggel - 35°-os lejtéssel</t>
  </si>
  <si>
    <t>Tetőkertek és zöldfelületek földalatti építményeken, amelyek növényzetének magassága meghaladja a 200 mm-t.</t>
  </si>
  <si>
    <t>100%-os esővízvisszatartó technológiával ellátott tetők</t>
  </si>
  <si>
    <t>A tetőket kaviccsal töltik fel, általában 16/32-es frakcióban, 4-6 cm vastagságú réteggel.</t>
  </si>
  <si>
    <t>IGEN/NEM</t>
  </si>
  <si>
    <t>Értékelés</t>
  </si>
  <si>
    <t>Az épületet tűzérzékelőkkel (a közös helyiségekben és/vagy a lakásokban) és árvízérzékelőkkel szerelték fel az árvízveszélyes épületekben.</t>
  </si>
  <si>
    <t>Az épület valamennyi közös területe szabadon, akadályok és akadályok nélkül járható, a tűzvédelmi előírásoknak megfelelően. Minden főkapcsoló és elzáró jelzett és hozzáférhető. Az épület az előírásoknak megfelelően fel van szerelve tűzoltó berendezésekkel.</t>
  </si>
  <si>
    <t>A felhasználókat oktatják a természeti katasztrófák esetén követendő magatartási elvekre (vagyon biztosítása, berendezések lekapcsolása, információkhoz való hozzáférés biztosítása, ablakok bezárása stb.)</t>
  </si>
  <si>
    <t>A felhasználók proaktívan tájékozódnak az épületek árvíz, elöntés és a szélsőséges időjárás hatásai elleni biztonságának elveiről, ismerik a kulcsfontosságú épületgépészeti elemek helyét, hozzáférnek azokhoz, és hajlandóak együttműködni.</t>
  </si>
  <si>
    <t>Az épület rendelkezik tartalék áramforrással/áramtermelő berendezéssel áramszünet esetére.</t>
  </si>
  <si>
    <t xml:space="preserve">Az épület két független vízforrással rendelkezik (legalábbis háztartási vízzel).                                                                                              </t>
  </si>
  <si>
    <t>Ha az épület nem rendelkezik tartalék áramforrással, és a fűtési rendszerhez csatlakoztatott szilárd tüzelésű fűtőtestekkel fűtenek, a rendszert utóhűtő hurokkal látják el (a szivattyúk kikapcsolása esetén bekövetkező károk megelőzése érdekében).</t>
  </si>
  <si>
    <t>Az épületben vannak közös helyiségek, ahol meleg időjárás esetén hűsölni lehet, és vészhelyzet esetén összegyűlhetünk.</t>
  </si>
  <si>
    <t>Az épületnek van egy gondnoka, aki rendszeres karbantartást és ellenőrzést végez.</t>
  </si>
  <si>
    <t>Az épület lakóinak (háztartásoknak) legalább 3/4-e regisztrálva van egy olyan rendszerben, amely lehetővé teszi a gyors értesítést vészhelyzet vagy vészhelyzet esetén (SMS, e-mail).</t>
  </si>
  <si>
    <t>Az egy főre jutó kibocsátás kiszámításához a B-POP4 mutató értékét kell használni:</t>
  </si>
  <si>
    <t>A B-POP4 érték nincs megadva, kérjük, adja meg.</t>
  </si>
  <si>
    <t>Ha nincs megadva, akkor 1 lakos értéket kell feltételezni.</t>
  </si>
  <si>
    <t xml:space="preserve">Kiválasztott ország: </t>
  </si>
  <si>
    <t xml:space="preserve">Automatikusan kiválasztott ország: </t>
  </si>
  <si>
    <t>Forrás</t>
  </si>
  <si>
    <t>Fosszilis erőforrások - földgáz</t>
  </si>
  <si>
    <t>Fosszilis források - villamos energia (hagyományos keverék)</t>
  </si>
  <si>
    <t>Fosszilis források - szén (fekete és barna)</t>
  </si>
  <si>
    <t>Fosszilis erőforrások - fűtőolaj, fűtőolaj</t>
  </si>
  <si>
    <t>Nem fosszilis források - biogáz, naphő, biohulladék...</t>
  </si>
  <si>
    <t>Nem fosszilis források - megújuló energiaforrásokból származó villamos energia</t>
  </si>
  <si>
    <t>A források keveréke</t>
  </si>
  <si>
    <t>A B-AD3-ra és az árnyékolt ablakokra vonatkozó adatok ellentmondásossága</t>
  </si>
  <si>
    <t>Nincs adat a következőkre vonatkozóan</t>
  </si>
  <si>
    <t>A B-AD3-ban nem meghatározott ablaktípus</t>
  </si>
  <si>
    <t>Szellőzőrendszer nélkül, csak biztonsági rendszerrel
konyhai és szaniter helyiségek (fürdőszoba, WC) elszívása</t>
  </si>
  <si>
    <t>A Klimaskenbe való beillesztés értéke</t>
  </si>
  <si>
    <t>Először a B-EX1 - Árvízkockázat mutató adatait kell kitölteni.</t>
  </si>
  <si>
    <t>Csapadékmennyiség (mm/év)</t>
  </si>
  <si>
    <t>Alaprajz hossza az átfedésekkel együtt (m)</t>
  </si>
  <si>
    <t>Alaprajz szélessége az átfedésekkel együtt (m)</t>
  </si>
  <si>
    <t>Hasznosítható tetőfelület (m²)</t>
  </si>
  <si>
    <t>A tető lefolyási együtthatója</t>
  </si>
  <si>
    <t>A szűrő hatékonysági együtthatója mechanikai szennyeződések esetén</t>
  </si>
  <si>
    <t>Az összegyűjtött csapadékvíz mennyisége Q (m³/év):</t>
  </si>
  <si>
    <t>m³/év</t>
  </si>
  <si>
    <t>A házban lakók száma</t>
  </si>
  <si>
    <t>Az összes vízfogyasztás összfogyasztása lakónként és naponként</t>
  </si>
  <si>
    <t>Az esővíz felhasználási együtthatója</t>
  </si>
  <si>
    <t>Az optimális méret együtthatója</t>
  </si>
  <si>
    <t>Tartály térfogata vízfogyasztás szerint Vv: 5,6 m3 ???</t>
  </si>
  <si>
    <t>Az elvezetett esővíz mennyisége</t>
  </si>
  <si>
    <t>Az optimális méret együtthatója (-)</t>
  </si>
  <si>
    <t>Tartály térfogata a felhasználható esővíz mennyiségével VP: 2,7 m3 ????</t>
  </si>
  <si>
    <t>Szükséges térfogat és a tartály térfogatának optimalizálása</t>
  </si>
  <si>
    <t>Tartály térfogata fogyasztás szerint</t>
  </si>
  <si>
    <t>Tartály térfogata a felhasználható esővíz mennyiségével</t>
  </si>
  <si>
    <t>Szükséges tartály térfogata VN: 2,7 m3 ????</t>
  </si>
  <si>
    <t>A mennyiség összehasonlításának eredménye</t>
  </si>
  <si>
    <t>Az esővízfogyasztás nagyobb, mint a tető kapacitása.</t>
  </si>
  <si>
    <t>Növelje a tetőfelületet (ha lehetséges), vagy tegye lehetővé a gyakoribb vízbevezetést (az esővízen kívül).</t>
  </si>
  <si>
    <t>Javasolt érték</t>
  </si>
  <si>
    <t>Tető típusa</t>
  </si>
  <si>
    <t>Lapos tető</t>
  </si>
  <si>
    <t>Ferde tető</t>
  </si>
  <si>
    <t>Aszfalt szilícium-dioxiddal</t>
  </si>
  <si>
    <t>műanyag</t>
  </si>
  <si>
    <t>horganyzott fémlemez</t>
  </si>
  <si>
    <t>növényzettel borított tető</t>
  </si>
  <si>
    <t>égetett csempe</t>
  </si>
  <si>
    <t>betonlapok</t>
  </si>
  <si>
    <t>pala</t>
  </si>
  <si>
    <t>zsindely</t>
  </si>
  <si>
    <t>Tetőfedő anyag</t>
  </si>
  <si>
    <t>A mechanikus szennyeződésszűrő vízelvezetési együtthatóját a gyártó adja meg. Ha nem tudja, adja meg a szokásos 0,9-es értéket.</t>
  </si>
  <si>
    <t>Esővízgyűjtési lehetőség</t>
  </si>
  <si>
    <t>A háztartásban élők száma (B-POP4)</t>
  </si>
  <si>
    <t>Az összes vízfogyasztás egy lakosra vetítve naponta (l)</t>
  </si>
  <si>
    <t>Esővízgyűjtési együttható</t>
  </si>
  <si>
    <t>Tartály térfogata vízfogyasztás szerint (m³)</t>
  </si>
  <si>
    <t>A szokásos érték 0,5</t>
  </si>
  <si>
    <t>A szokásos érték 20</t>
  </si>
  <si>
    <t>&lt;- Írja be az értéket a cellába</t>
  </si>
  <si>
    <t>Tartály térfogata a felhasználható esővíz mennyiségével (m³)</t>
  </si>
  <si>
    <t>Magyarország</t>
  </si>
  <si>
    <t>Németország</t>
  </si>
  <si>
    <t>Lengyelország</t>
  </si>
  <si>
    <t>Ausztria</t>
  </si>
  <si>
    <t>Fehéroroszország</t>
  </si>
  <si>
    <t>Bulgária</t>
  </si>
  <si>
    <t>Horvátország</t>
  </si>
  <si>
    <t>Ciprus</t>
  </si>
  <si>
    <t>Dánia</t>
  </si>
  <si>
    <t>Észtország</t>
  </si>
  <si>
    <t>Franciaország</t>
  </si>
  <si>
    <t>Lettország</t>
  </si>
  <si>
    <t>Litvánia</t>
  </si>
  <si>
    <t>Hollandia</t>
  </si>
  <si>
    <t>Románia</t>
  </si>
  <si>
    <t>Szerbia</t>
  </si>
  <si>
    <t>Szlovénia</t>
  </si>
  <si>
    <t xml:space="preserve">Földgáz </t>
  </si>
  <si>
    <t>Szén</t>
  </si>
  <si>
    <t>Fűtőolaj</t>
  </si>
  <si>
    <t>Biomassza</t>
  </si>
  <si>
    <t>Szén és biomassza keveréke</t>
  </si>
  <si>
    <t>Színskála és HBW-indexértékek</t>
  </si>
  <si>
    <t>Bez větracího systému, přirozené větrání okny a infiltrací</t>
  </si>
  <si>
    <t>Bez větracího systému, pouze odsávání kuchyně, WC a koupelny</t>
  </si>
  <si>
    <t xml:space="preserve">Větrací systém s rekuperací </t>
  </si>
  <si>
    <t>Větrací systém s rekuperací a letním bypassem</t>
  </si>
  <si>
    <t>Větrací systém s rekuperací a pasivním chlazením</t>
  </si>
  <si>
    <t>Větrací systém s rekuperací a aktivním chlazením</t>
  </si>
  <si>
    <t>No ventilation system, natural ventilation through windows and infiltration</t>
  </si>
  <si>
    <t>No ventilation system, only exhaust for kitchen, toilet and bathroom</t>
  </si>
  <si>
    <t xml:space="preserve">Ventilation system with heat recovery </t>
  </si>
  <si>
    <t>Ventilation system with heat recovery and summer bypass</t>
  </si>
  <si>
    <t>Ventilation system with heat recovery and passive cooling</t>
  </si>
  <si>
    <t>Ventilation system with heat recovery and active cooling</t>
  </si>
  <si>
    <t>Žiadny vetrací systém, prirodzené vetranie oknami a infiltrácia</t>
  </si>
  <si>
    <t>Žiadny ventilačný systém, len odsávanie pre kuchyňu, WC a kúpeľňu</t>
  </si>
  <si>
    <t xml:space="preserve">Ventilačný systém s rekuperáciou tepla </t>
  </si>
  <si>
    <t>Ventilačný systém s rekuperáciou tepla a letným obtokom</t>
  </si>
  <si>
    <t>Vetrací systém s rekuperáciou tepla a pasívnym chladením</t>
  </si>
  <si>
    <t>Ventilačný systém s rekuperáciou tepla a aktívnym chladením</t>
  </si>
  <si>
    <t>Účel budovy</t>
  </si>
  <si>
    <t>Purpose of building</t>
  </si>
  <si>
    <t>Budova pro bydlení</t>
  </si>
  <si>
    <t>Budova pro rekreaci</t>
  </si>
  <si>
    <t>Administrativní budova</t>
  </si>
  <si>
    <t>Budova na bývanie</t>
  </si>
  <si>
    <t>Budova na rekreáciu</t>
  </si>
  <si>
    <t>Kancelárska budova</t>
  </si>
  <si>
    <t>Building for housing</t>
  </si>
  <si>
    <t>Building for recreation</t>
  </si>
  <si>
    <t>Office building</t>
  </si>
  <si>
    <t>Žádný  centrální chladící systém</t>
  </si>
  <si>
    <t>Žiadny  centrálny chladiaci systém</t>
  </si>
  <si>
    <t>no central cooling system</t>
  </si>
  <si>
    <t>Rok hodnocení</t>
  </si>
  <si>
    <t>Rok hodnotenia</t>
  </si>
  <si>
    <t>Year of evaluation</t>
  </si>
  <si>
    <t>Identifikace budovy (název či popis budovy; mělo by odpovídat názvu modelu v Klimasken)</t>
  </si>
  <si>
    <t>Identifikácia budovy (názov alebo opis budovy; mal by sa zhodovať s názvom modelu v programe Klimasken)</t>
  </si>
  <si>
    <t>Building identification Building identification (name or description of the building; should match the name of the model in Klimasken)</t>
  </si>
  <si>
    <t xml:space="preserve">Building identification </t>
  </si>
  <si>
    <t xml:space="preserve">Nástroj KLIMASKEN je určen především pro hodnocení bytových domů. Přiměřeně jej lze ale použít také pro hodnocení ostatních druhů budov, které nejsou určené pro bydlení, jako jsou školní, administrativní a jiné budovy. V případě hodnocení takových budov je zapotřebí přepočítat uživatele budovy na efektivní obyvatele (EfO) tak, aby výsledek byl přibližně srovnatelný s bytovým domem. 
</t>
  </si>
  <si>
    <t xml:space="preserve">Nástroj KLIMASKEN je určený predovšetkým na hodnotenie bytových domov. Možno ho však vhodne použiť aj na hodnotenie iných typov budov, ktoré nie sú určené na bývanie, ako sú školské, administratívne a iné budovy. V prípade hodnotenia takýchto budov je potrebné prepočítať užívateľov budovy na efektívnych užívateľov (EfU), aby bol výsledok približne porovnateľný s bytovou budovou. 
</t>
  </si>
  <si>
    <t xml:space="preserve">The KLIMASKEN tool is designed primarily for the evaluation of residential buildings. However, it can also be used appropriately for the assessment of other buildings constructed for other purposes as for housing. In the case of the assessment of such buildings, it is necessary to convert the building users number to effective occupants (EfO) so that the result is roughly comparable to an residential building. </t>
  </si>
  <si>
    <t>Postup v jednotlivých případech:</t>
  </si>
  <si>
    <t>Postup pre každý prípad osobitne:</t>
  </si>
  <si>
    <t>Case-by-case procedure:</t>
  </si>
  <si>
    <t xml:space="preserve">Děti, žáci a studenti v mateřských, základních, středních a na vysokých školách se započítávají jako 0,3 EfO, učitelé a ostatní pracovníci jako 0,5 EfO. V případě nemocnic se započte kapacita lůžkových částí násobená průměrnou denní obložností jako 1,0 EfO, personál jako 0,5 EfO. U poliklinik a ambulancí, tj. zdravotnických zařízení bez lůžkové části, se započte pouze personál jako 0,5 EfO. V úřadech a obdobných administrativních budovách či kancelářských budovách se započtou zaměstnanci jako 0,5 EfO. V ubytovacích zařízeních se započte kapacita lůžek násobená průměrným denním využitím této kapacity jako 0,5 EfO a počet zaměstnanců provozu jako 1,0 EfO. V domech seniorů, dětských domovech, léčebnách a podobně se započte průměrný počet klientů a zaměstnanců jako 1,0 EfO.
Plnou srovnatelnost u různých budov zadávaných do hodnocení různými autory nelze zajistit. U budov, jejichž typ není výše uveden, je třeba postupovat podle vlastního uvážení.
</t>
  </si>
  <si>
    <t xml:space="preserve">Deti, žiaci a študenti v materských, základných, stredných a vysokých školách sa počítajú ako 0,3 EfU, učitelia a ostatní zamestnanci ako 0,5 EfU. V prípade nemocníc sa kapacita lôžok vynásobená priemernou dennou obsadenosťou počíta ako 1,0 EfU, personál ako 0,5 EfU. V prípade polikliník a ambulancií, t. j. zdravotníckych zariadení bez lôžkovej časti, sa za 0,5 EfU počíta len personál. V úradoch a podobných administratívnych budovách alebo kancelárskych budovách sa personál počíta ako 0,5 EfU. V ubytovacích zariadeniach sa lôžková kapacita vynásobená priemerným denným využitím tejto kapacity počíta ako 0,5 EfU a počet zamestnancov v prevádzke ako 1,0 EfU. V domovoch dôchodcov, detských domovoch, liečebniach atď. sa priemerný počet klientov a zamestnancov počíta ako 1,0 EfU.
Podotýkame, že úplnú porovnateľnosť pre rôzne budovy, ktoré do hodnotenia zadali rôzni autori, nie je možné zabezpečiť. V prípade budov, ktorých typ nie je uvedený vyššie, je potrebné postupovať podľa vlastného uváženia.
</t>
  </si>
  <si>
    <t>Primary, secondary and higher education</t>
  </si>
  <si>
    <t>Nemocnice</t>
  </si>
  <si>
    <t>Nemocnica</t>
  </si>
  <si>
    <t>Mateřská základní, střední a vysoká škola</t>
  </si>
  <si>
    <t>Materská, základná, stredná a vysoká škola</t>
  </si>
  <si>
    <t>Hospital</t>
  </si>
  <si>
    <t>Poliklinika a ambulance</t>
  </si>
  <si>
    <t>Poliklinika a ambulancia</t>
  </si>
  <si>
    <t>Polyclinic and abmulance</t>
  </si>
  <si>
    <t>Úřad a administrativní budova</t>
  </si>
  <si>
    <t>Úrad a administratívna budova</t>
  </si>
  <si>
    <t>Office and administration building</t>
  </si>
  <si>
    <t>Ubytovací zařízení</t>
  </si>
  <si>
    <t>Accommodation facility</t>
  </si>
  <si>
    <t>Ubytovacie zariadenie</t>
  </si>
  <si>
    <t>Dům seniorů, dětský domov, léčebna</t>
  </si>
  <si>
    <t>Domov dôchodcov, detský domov</t>
  </si>
  <si>
    <t>Old people's home, children's home, sanatorium</t>
  </si>
  <si>
    <t>Ostatní</t>
  </si>
  <si>
    <t>Ostatné</t>
  </si>
  <si>
    <t>Other</t>
  </si>
  <si>
    <t>pozri nižšie</t>
  </si>
  <si>
    <t>see below</t>
  </si>
  <si>
    <t>viz níže</t>
  </si>
  <si>
    <t xml:space="preserve">Children, pupils and students in nursery, primary, secondary and higher education are counted as 0.3 EfO, teachers and other staff as 0.5 EfO. In the case of hospitals, bed capacity multiplied by average daily occupancy is counted as 1.0 EfO, staff as 0.5 EfO. For polyclinics and ambulances, i.e. health establishments without an inpatient part, only staff shall be counted as 0,5 EfO. In offices and similar administrative buildings or office buildings, staff shall be counted as 0,5 EfO. In accommodation establishments, the bed capacity multiplied by the average daily use of this capacity shall be counted as 0,5 EfO and the number of staff in the operation as 1,0 EfO. In old people's homes, children's homes, hospitals, etc., the average number of clients and staff shall be counted as 1,0 EfO.
 Remarks: full comparability for different buildings entered in the evaluation by different authors cannot be ensured. For buildings whose type is not indicated above, the own consideration should be applied.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</si>
</sst>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1];[Red]\-#,##0\ [$€-1]"/>
    <numFmt numFmtId="165" formatCode="#,##0.0"/>
    <numFmt numFmtId="166" formatCode="0.000"/>
    <numFmt numFmtId="167" formatCode="0.0%"/>
  </numFmts>
  <fonts count="44" x14ac:knownFonts="1">
    <font>
      <sz val="11"/>
      <color theme="1"/>
      <name val="Calibri"/>
      <family val="2"/>
      <charset val="238"/>
      <scheme val="minor"/>
    </font>
    <font>
      <b/>
      <sz val="11"/>
      <color theme="1"/>
      <name val="Calibri"/>
      <family val="2"/>
      <charset val="238"/>
      <scheme val="minor"/>
    </font>
    <font>
      <vertAlign val="superscript"/>
      <sz val="11"/>
      <color theme="1"/>
      <name val="Calibri"/>
      <family val="2"/>
      <charset val="238"/>
      <scheme val="minor"/>
    </font>
    <font>
      <sz val="12"/>
      <color theme="1"/>
      <name val="Times New Roman"/>
      <family val="1"/>
      <charset val="238"/>
    </font>
    <font>
      <sz val="11"/>
      <color rgb="FF000000"/>
      <name val="Arial"/>
      <family val="2"/>
      <charset val="238"/>
    </font>
    <font>
      <b/>
      <sz val="11"/>
      <color rgb="FF000000"/>
      <name val="Arial"/>
      <family val="2"/>
      <charset val="238"/>
    </font>
    <font>
      <sz val="6"/>
      <color theme="1"/>
      <name val="Times New Roman"/>
      <family val="1"/>
      <charset val="238"/>
    </font>
    <font>
      <sz val="11"/>
      <color rgb="FF000000"/>
      <name val="Calibri"/>
      <family val="2"/>
      <charset val="238"/>
      <scheme val="minor"/>
    </font>
    <font>
      <b/>
      <sz val="11"/>
      <color rgb="FF000000"/>
      <name val="Calibri"/>
      <family val="2"/>
      <charset val="238"/>
      <scheme val="minor"/>
    </font>
    <font>
      <u/>
      <sz val="11"/>
      <color theme="10"/>
      <name val="Calibri"/>
      <family val="2"/>
      <charset val="238"/>
      <scheme val="minor"/>
    </font>
    <font>
      <vertAlign val="superscript"/>
      <sz val="11"/>
      <color rgb="FF000000"/>
      <name val="Calibri"/>
      <family val="2"/>
      <charset val="238"/>
      <scheme val="minor"/>
    </font>
    <font>
      <sz val="11"/>
      <color theme="0"/>
      <name val="Calibri"/>
      <family val="2"/>
      <charset val="238"/>
      <scheme val="minor"/>
    </font>
    <font>
      <sz val="11"/>
      <color theme="1"/>
      <name val="Calibri"/>
      <family val="2"/>
      <charset val="238"/>
      <scheme val="minor"/>
    </font>
    <font>
      <sz val="11"/>
      <color rgb="FF006100"/>
      <name val="Calibri"/>
      <family val="2"/>
      <charset val="238"/>
      <scheme val="minor"/>
    </font>
    <font>
      <b/>
      <sz val="11"/>
      <color theme="0"/>
      <name val="Calibri"/>
      <family val="2"/>
      <charset val="238"/>
      <scheme val="minor"/>
    </font>
    <font>
      <sz val="11"/>
      <color rgb="FFFF0000"/>
      <name val="Calibri"/>
      <family val="2"/>
      <charset val="238"/>
      <scheme val="minor"/>
    </font>
    <font>
      <b/>
      <sz val="11"/>
      <color rgb="FFFF0000"/>
      <name val="Calibri"/>
      <family val="2"/>
      <charset val="238"/>
      <scheme val="minor"/>
    </font>
    <font>
      <b/>
      <sz val="14"/>
      <color theme="1"/>
      <name val="Calibri"/>
      <family val="2"/>
      <charset val="238"/>
      <scheme val="minor"/>
    </font>
    <font>
      <sz val="14"/>
      <color theme="1"/>
      <name val="Calibri"/>
      <family val="2"/>
      <charset val="238"/>
      <scheme val="minor"/>
    </font>
    <font>
      <b/>
      <sz val="16"/>
      <color theme="1"/>
      <name val="Calibri"/>
      <family val="2"/>
      <charset val="238"/>
      <scheme val="minor"/>
    </font>
    <font>
      <b/>
      <u/>
      <sz val="11"/>
      <color theme="10"/>
      <name val="Calibri"/>
      <family val="2"/>
      <charset val="238"/>
      <scheme val="minor"/>
    </font>
    <font>
      <b/>
      <sz val="18"/>
      <color theme="1"/>
      <name val="Calibri"/>
      <family val="2"/>
      <charset val="238"/>
      <scheme val="minor"/>
    </font>
    <font>
      <sz val="12"/>
      <color theme="1"/>
      <name val="Calibri"/>
      <family val="2"/>
      <charset val="238"/>
    </font>
    <font>
      <sz val="12"/>
      <color rgb="FF000000"/>
      <name val="Calibri"/>
      <family val="2"/>
      <charset val="238"/>
    </font>
    <font>
      <b/>
      <sz val="11"/>
      <name val="Calibri"/>
      <family val="2"/>
      <charset val="238"/>
      <scheme val="minor"/>
    </font>
    <font>
      <sz val="11"/>
      <color rgb="FF14110C"/>
      <name val="Calibri"/>
      <family val="2"/>
      <charset val="238"/>
      <scheme val="minor"/>
    </font>
    <font>
      <sz val="11"/>
      <name val="Calibri"/>
      <family val="2"/>
      <charset val="238"/>
      <scheme val="minor"/>
    </font>
    <font>
      <sz val="11"/>
      <color rgb="FF111111"/>
      <name val="Calibri"/>
      <family val="2"/>
      <charset val="238"/>
      <scheme val="minor"/>
    </font>
    <font>
      <b/>
      <sz val="14"/>
      <color rgb="FF006100"/>
      <name val="Calibri"/>
      <family val="2"/>
      <charset val="238"/>
      <scheme val="minor"/>
    </font>
    <font>
      <b/>
      <i/>
      <sz val="11"/>
      <color theme="1"/>
      <name val="Calibri"/>
      <family val="2"/>
      <charset val="238"/>
      <scheme val="minor"/>
    </font>
    <font>
      <sz val="11"/>
      <color theme="1"/>
      <name val="Calibri"/>
      <family val="2"/>
      <charset val="238"/>
    </font>
    <font>
      <b/>
      <sz val="13"/>
      <color theme="1"/>
      <name val="Calibri"/>
      <family val="2"/>
      <charset val="238"/>
      <scheme val="minor"/>
    </font>
    <font>
      <b/>
      <u/>
      <sz val="11"/>
      <color rgb="FFFF0000"/>
      <name val="Calibri"/>
      <family val="2"/>
      <charset val="238"/>
      <scheme val="minor"/>
    </font>
    <font>
      <sz val="11"/>
      <color rgb="FF9C6500"/>
      <name val="Calibri"/>
      <family val="2"/>
      <charset val="238"/>
      <scheme val="minor"/>
    </font>
    <font>
      <sz val="15"/>
      <color rgb="FF000000"/>
      <name val="Segoe UI"/>
      <family val="2"/>
      <charset val="238"/>
    </font>
    <font>
      <sz val="11"/>
      <color rgb="FF111111"/>
      <name val="Arial"/>
      <family val="2"/>
      <charset val="238"/>
    </font>
    <font>
      <b/>
      <sz val="11"/>
      <color rgb="FF111111"/>
      <name val="Arial"/>
      <family val="2"/>
      <charset val="238"/>
    </font>
    <font>
      <sz val="11"/>
      <name val="Calibri"/>
      <family val="2"/>
      <charset val="238"/>
    </font>
    <font>
      <sz val="11"/>
      <color theme="1"/>
      <name val="Calibri"/>
      <family val="2"/>
      <scheme val="minor"/>
    </font>
    <font>
      <sz val="11"/>
      <name val="Calibri"/>
      <family val="2"/>
      <scheme val="minor"/>
    </font>
    <font>
      <sz val="11"/>
      <name val="Calibri"/>
      <family val="2"/>
    </font>
    <font>
      <sz val="10"/>
      <name val="Calibri"/>
      <family val="2"/>
      <charset val="238"/>
      <scheme val="minor"/>
    </font>
    <font>
      <i/>
      <sz val="11"/>
      <color theme="1"/>
      <name val="Calibri"/>
      <family val="2"/>
      <charset val="238"/>
      <scheme val="minor"/>
    </font>
    <font>
      <i/>
      <u/>
      <sz val="11"/>
      <color theme="10"/>
      <name val="Calibri"/>
      <family val="2"/>
      <charset val="238"/>
      <scheme val="minor"/>
    </font>
  </fonts>
  <fills count="22">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C000"/>
        <bgColor indexed="64"/>
      </patternFill>
    </fill>
    <fill>
      <patternFill patternType="solid">
        <fgColor rgb="FFF2DBDB"/>
        <bgColor indexed="64"/>
      </patternFill>
    </fill>
    <fill>
      <patternFill patternType="solid">
        <fgColor rgb="FFFBD4B4"/>
        <bgColor indexed="64"/>
      </patternFill>
    </fill>
    <fill>
      <patternFill patternType="solid">
        <fgColor rgb="FFC2D69B"/>
        <bgColor indexed="64"/>
      </patternFill>
    </fill>
    <fill>
      <patternFill patternType="solid">
        <fgColor rgb="FFD9D9D9"/>
        <bgColor indexed="64"/>
      </patternFill>
    </fill>
    <fill>
      <patternFill patternType="solid">
        <fgColor rgb="FFA6A6A6"/>
        <bgColor indexed="64"/>
      </patternFill>
    </fill>
    <fill>
      <patternFill patternType="solid">
        <fgColor theme="9" tint="0.39997558519241921"/>
        <bgColor indexed="64"/>
      </patternFill>
    </fill>
    <fill>
      <patternFill patternType="solid">
        <fgColor rgb="FFC6EFCE"/>
      </patternFill>
    </fill>
    <fill>
      <patternFill patternType="solid">
        <fgColor rgb="FFFFFFCC"/>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99CCFF"/>
        <bgColor indexed="64"/>
      </patternFill>
    </fill>
    <fill>
      <patternFill patternType="solid">
        <fgColor theme="4" tint="0.79998168889431442"/>
        <bgColor indexed="64"/>
      </patternFill>
    </fill>
    <fill>
      <patternFill patternType="solid">
        <fgColor rgb="FFFFEB9C"/>
      </patternFill>
    </fill>
    <fill>
      <patternFill patternType="solid">
        <fgColor theme="4" tint="0.59999389629810485"/>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diagonal/>
    </border>
    <border>
      <left/>
      <right style="thick">
        <color rgb="FFFFFFFF"/>
      </right>
      <top style="thick">
        <color rgb="FFFFFFFF"/>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ck">
        <color rgb="FFFFFFFF"/>
      </left>
      <right/>
      <top/>
      <bottom style="thick">
        <color rgb="FFFFFFF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rgb="FFFFFFFF"/>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9" fillId="0" borderId="0" applyNumberFormat="0" applyFill="0" applyBorder="0" applyAlignment="0" applyProtection="0"/>
    <xf numFmtId="0" fontId="13" fillId="12" borderId="0" applyNumberFormat="0" applyBorder="0" applyAlignment="0" applyProtection="0"/>
    <xf numFmtId="0" fontId="12" fillId="13" borderId="13" applyNumberFormat="0" applyFont="0" applyAlignment="0" applyProtection="0"/>
    <xf numFmtId="0" fontId="33" fillId="20" borderId="0" applyNumberFormat="0" applyBorder="0" applyAlignment="0" applyProtection="0"/>
    <xf numFmtId="0" fontId="38" fillId="0" borderId="0"/>
  </cellStyleXfs>
  <cellXfs count="325">
    <xf numFmtId="0" fontId="0" fillId="0" borderId="0" xfId="0"/>
    <xf numFmtId="0" fontId="1" fillId="0" borderId="0" xfId="0" applyFont="1"/>
    <xf numFmtId="0" fontId="0" fillId="4" borderId="1" xfId="0"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0" fillId="7" borderId="2" xfId="0" applyFill="1" applyBorder="1" applyAlignment="1">
      <alignment horizontal="center" vertical="center" wrapText="1"/>
    </xf>
    <xf numFmtId="0" fontId="0" fillId="8" borderId="2" xfId="0" applyFill="1"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horizontal="center" vertical="center" wrapText="1"/>
    </xf>
    <xf numFmtId="0" fontId="0" fillId="2" borderId="8" xfId="0" applyFill="1" applyBorder="1" applyAlignment="1">
      <alignment vertical="center" wrapText="1"/>
    </xf>
    <xf numFmtId="0" fontId="0" fillId="2" borderId="9" xfId="0" applyFill="1" applyBorder="1" applyAlignment="1">
      <alignment horizontal="center" vertical="center" wrapText="1"/>
    </xf>
    <xf numFmtId="0" fontId="1" fillId="2" borderId="8" xfId="0" applyFont="1" applyFill="1" applyBorder="1" applyAlignment="1">
      <alignment vertical="center" wrapText="1"/>
    </xf>
    <xf numFmtId="0" fontId="1" fillId="2" borderId="9" xfId="0" applyFont="1" applyFill="1" applyBorder="1" applyAlignment="1">
      <alignment horizontal="center" vertical="center" wrapText="1"/>
    </xf>
    <xf numFmtId="0" fontId="0" fillId="0" borderId="3" xfId="0" applyBorder="1" applyAlignment="1">
      <alignment horizontal="center" vertical="center" wrapText="1"/>
    </xf>
    <xf numFmtId="0" fontId="4" fillId="9" borderId="5" xfId="0" applyFont="1" applyFill="1" applyBorder="1" applyAlignment="1">
      <alignment vertical="center" wrapText="1"/>
    </xf>
    <xf numFmtId="0" fontId="4" fillId="9" borderId="6"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9" borderId="8" xfId="0" applyFont="1" applyFill="1" applyBorder="1" applyAlignment="1">
      <alignment vertical="center" wrapText="1"/>
    </xf>
    <xf numFmtId="0" fontId="4" fillId="9" borderId="9" xfId="0" applyFont="1" applyFill="1" applyBorder="1" applyAlignment="1">
      <alignment horizontal="center" vertical="center" wrapText="1"/>
    </xf>
    <xf numFmtId="0" fontId="5" fillId="3" borderId="8" xfId="0" applyFont="1" applyFill="1" applyBorder="1" applyAlignment="1">
      <alignment vertical="center" wrapText="1"/>
    </xf>
    <xf numFmtId="0" fontId="0" fillId="10" borderId="6" xfId="0" applyFill="1" applyBorder="1" applyAlignment="1">
      <alignment horizontal="center" vertical="center" wrapText="1"/>
    </xf>
    <xf numFmtId="0" fontId="1" fillId="9" borderId="6" xfId="0" applyFont="1" applyFill="1" applyBorder="1" applyAlignment="1">
      <alignment horizontal="center" vertical="center" wrapText="1"/>
    </xf>
    <xf numFmtId="0" fontId="0" fillId="10" borderId="9" xfId="0" applyFill="1" applyBorder="1" applyAlignment="1">
      <alignment horizontal="center" vertical="center" wrapText="1"/>
    </xf>
    <xf numFmtId="0" fontId="1" fillId="3"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0" borderId="0" xfId="0" applyFont="1" applyAlignment="1"/>
    <xf numFmtId="0" fontId="0" fillId="0" borderId="0" xfId="0" applyAlignment="1"/>
    <xf numFmtId="0" fontId="0" fillId="9" borderId="5" xfId="0" applyFill="1" applyBorder="1" applyAlignment="1">
      <alignment vertical="center"/>
    </xf>
    <xf numFmtId="0" fontId="0" fillId="9" borderId="6" xfId="0" applyFill="1" applyBorder="1" applyAlignment="1">
      <alignment horizontal="center" vertical="center"/>
    </xf>
    <xf numFmtId="0" fontId="0" fillId="3" borderId="9" xfId="0" applyFill="1" applyBorder="1" applyAlignment="1">
      <alignment horizontal="right" vertical="center"/>
    </xf>
    <xf numFmtId="0" fontId="1" fillId="3" borderId="9" xfId="0" applyFont="1" applyFill="1" applyBorder="1" applyAlignment="1">
      <alignment horizontal="right" vertical="center"/>
    </xf>
    <xf numFmtId="0" fontId="0" fillId="9" borderId="9" xfId="0" applyFill="1" applyBorder="1" applyAlignment="1">
      <alignment horizontal="right" vertical="center"/>
    </xf>
    <xf numFmtId="0" fontId="1" fillId="9" borderId="9" xfId="0" applyFont="1" applyFill="1" applyBorder="1" applyAlignment="1">
      <alignment horizontal="right"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vertical="center" wrapText="1"/>
    </xf>
    <xf numFmtId="0" fontId="7" fillId="9" borderId="9" xfId="0" applyFont="1" applyFill="1" applyBorder="1" applyAlignment="1">
      <alignment horizontal="center" vertical="center" wrapText="1"/>
    </xf>
    <xf numFmtId="0" fontId="6" fillId="9" borderId="5" xfId="0" applyFont="1" applyFill="1" applyBorder="1" applyAlignment="1">
      <alignment vertical="center"/>
    </xf>
    <xf numFmtId="0" fontId="8" fillId="9" borderId="9" xfId="0" applyFont="1" applyFill="1" applyBorder="1" applyAlignment="1">
      <alignment horizontal="center" vertical="center"/>
    </xf>
    <xf numFmtId="0" fontId="3" fillId="3" borderId="9" xfId="0" applyFont="1" applyFill="1" applyBorder="1" applyAlignment="1">
      <alignment vertical="center" wrapText="1"/>
    </xf>
    <xf numFmtId="0" fontId="9" fillId="0" borderId="0" xfId="1" applyAlignment="1">
      <alignment vertical="center"/>
    </xf>
    <xf numFmtId="0" fontId="0" fillId="0" borderId="0" xfId="0" applyAlignment="1">
      <alignment wrapText="1"/>
    </xf>
    <xf numFmtId="0" fontId="7" fillId="9" borderId="12" xfId="0" applyFont="1" applyFill="1" applyBorder="1" applyAlignment="1">
      <alignment horizontal="center" vertical="center" wrapText="1"/>
    </xf>
    <xf numFmtId="0" fontId="7" fillId="3" borderId="9" xfId="0" applyFont="1" applyFill="1" applyBorder="1" applyAlignment="1">
      <alignment horizontal="right" vertical="center" wrapText="1"/>
    </xf>
    <xf numFmtId="0" fontId="7" fillId="9" borderId="9" xfId="0" applyFont="1" applyFill="1" applyBorder="1" applyAlignment="1">
      <alignment horizontal="right" vertical="center" wrapText="1"/>
    </xf>
    <xf numFmtId="0" fontId="3" fillId="9" borderId="9" xfId="0" applyFont="1" applyFill="1" applyBorder="1" applyAlignment="1">
      <alignment vertical="center" wrapText="1"/>
    </xf>
    <xf numFmtId="0" fontId="8" fillId="9" borderId="9" xfId="0" applyFont="1" applyFill="1" applyBorder="1" applyAlignment="1">
      <alignment horizontal="right" vertical="center" wrapText="1"/>
    </xf>
    <xf numFmtId="0" fontId="7" fillId="9" borderId="6" xfId="0" applyFont="1" applyFill="1" applyBorder="1" applyAlignment="1">
      <alignment horizontal="center" vertical="center" wrapText="1"/>
    </xf>
    <xf numFmtId="0" fontId="1" fillId="0" borderId="0" xfId="0" applyFont="1" applyAlignment="1">
      <alignment wrapText="1"/>
    </xf>
    <xf numFmtId="2" fontId="0" fillId="0" borderId="3"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11" borderId="8" xfId="0" applyFill="1" applyBorder="1" applyAlignment="1">
      <alignment vertical="center"/>
    </xf>
    <xf numFmtId="0" fontId="1" fillId="0" borderId="0" xfId="0" applyFont="1" applyAlignment="1">
      <alignment horizontal="right"/>
    </xf>
    <xf numFmtId="0" fontId="1" fillId="0" borderId="0" xfId="0" applyFont="1" applyFill="1" applyBorder="1" applyAlignment="1">
      <alignment horizontal="right"/>
    </xf>
    <xf numFmtId="10" fontId="0" fillId="0" borderId="0" xfId="0" applyNumberFormat="1"/>
    <xf numFmtId="0" fontId="15" fillId="0" borderId="0" xfId="0" applyFont="1"/>
    <xf numFmtId="0" fontId="16" fillId="0" borderId="0" xfId="0" applyFont="1"/>
    <xf numFmtId="0" fontId="0" fillId="0" borderId="14" xfId="0" applyBorder="1"/>
    <xf numFmtId="49" fontId="0" fillId="0" borderId="0" xfId="0" quotePrefix="1" applyNumberFormat="1"/>
    <xf numFmtId="10" fontId="0" fillId="0" borderId="14" xfId="0" applyNumberFormat="1" applyBorder="1"/>
    <xf numFmtId="2" fontId="0" fillId="0" borderId="0" xfId="0" quotePrefix="1" applyNumberFormat="1"/>
    <xf numFmtId="0" fontId="17" fillId="0" borderId="0" xfId="0" applyFont="1" applyFill="1" applyBorder="1" applyAlignment="1">
      <alignment horizontal="left"/>
    </xf>
    <xf numFmtId="0" fontId="18" fillId="0" borderId="0" xfId="0" applyFont="1" applyBorder="1" applyAlignment="1">
      <alignment horizontal="left"/>
    </xf>
    <xf numFmtId="0" fontId="7" fillId="9" borderId="11" xfId="0" applyFont="1" applyFill="1" applyBorder="1" applyAlignment="1">
      <alignment vertical="center" wrapText="1"/>
    </xf>
    <xf numFmtId="0" fontId="0" fillId="0" borderId="14" xfId="0" applyBorder="1" applyAlignment="1">
      <alignment vertical="top" wrapText="1"/>
    </xf>
    <xf numFmtId="0" fontId="18" fillId="13" borderId="13" xfId="3" applyFont="1" applyAlignment="1">
      <alignment horizontal="center" vertical="top"/>
    </xf>
    <xf numFmtId="0" fontId="18" fillId="13" borderId="13" xfId="3" applyFont="1" applyAlignment="1">
      <alignment horizontal="center"/>
    </xf>
    <xf numFmtId="0" fontId="17" fillId="13" borderId="13" xfId="3" applyFont="1" applyAlignment="1">
      <alignment horizontal="center" vertical="top"/>
    </xf>
    <xf numFmtId="0" fontId="17" fillId="13" borderId="13" xfId="3" applyFont="1" applyAlignment="1">
      <alignment horizontal="center"/>
    </xf>
    <xf numFmtId="0" fontId="17" fillId="13" borderId="13" xfId="3" applyFont="1" applyAlignment="1">
      <alignment horizontal="left"/>
    </xf>
    <xf numFmtId="0" fontId="7" fillId="9" borderId="16"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0" borderId="14" xfId="0" applyFont="1" applyFill="1" applyBorder="1" applyAlignment="1">
      <alignment vertical="center" wrapText="1"/>
    </xf>
    <xf numFmtId="0" fontId="18" fillId="4"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0" borderId="0" xfId="0" applyFont="1"/>
    <xf numFmtId="0" fontId="19" fillId="0" borderId="0" xfId="0" applyFont="1" applyAlignment="1"/>
    <xf numFmtId="0" fontId="11" fillId="0" borderId="0" xfId="0" applyFont="1"/>
    <xf numFmtId="10" fontId="13" fillId="0" borderId="14" xfId="2" applyNumberFormat="1" applyFill="1" applyBorder="1" applyAlignment="1"/>
    <xf numFmtId="0" fontId="13" fillId="12" borderId="14" xfId="2" applyBorder="1" applyProtection="1">
      <protection locked="0"/>
    </xf>
    <xf numFmtId="10" fontId="13" fillId="12" borderId="14" xfId="2" applyNumberFormat="1" applyBorder="1" applyProtection="1">
      <protection locked="0"/>
    </xf>
    <xf numFmtId="10" fontId="13" fillId="12" borderId="14" xfId="2" applyNumberFormat="1" applyBorder="1" applyAlignment="1" applyProtection="1">
      <protection locked="0"/>
    </xf>
    <xf numFmtId="0" fontId="0" fillId="0" borderId="14" xfId="0" applyFill="1" applyBorder="1" applyAlignment="1">
      <alignment vertical="center" wrapText="1"/>
    </xf>
    <xf numFmtId="0" fontId="1" fillId="0" borderId="0" xfId="0" applyFont="1" applyFill="1"/>
    <xf numFmtId="0" fontId="0" fillId="0" borderId="0" xfId="0" applyFont="1" applyFill="1"/>
    <xf numFmtId="0" fontId="11" fillId="0" borderId="0" xfId="0" applyFont="1" applyFill="1"/>
    <xf numFmtId="0" fontId="0" fillId="0" borderId="0" xfId="0" applyFont="1"/>
    <xf numFmtId="0" fontId="11" fillId="0" borderId="0" xfId="0" applyFont="1" applyFill="1" applyProtection="1">
      <protection hidden="1"/>
    </xf>
    <xf numFmtId="0" fontId="14" fillId="0" borderId="0" xfId="0" applyFont="1" applyFill="1" applyProtection="1">
      <protection hidden="1"/>
    </xf>
    <xf numFmtId="0" fontId="7" fillId="9" borderId="9" xfId="0" applyFont="1" applyFill="1" applyBorder="1" applyAlignment="1">
      <alignment horizontal="center" vertical="center" wrapText="1"/>
    </xf>
    <xf numFmtId="0" fontId="20" fillId="0" borderId="0" xfId="1" applyFont="1"/>
    <xf numFmtId="0" fontId="0" fillId="0" borderId="14" xfId="0" applyBorder="1" applyAlignment="1"/>
    <xf numFmtId="0" fontId="0" fillId="0" borderId="21" xfId="0" applyBorder="1"/>
    <xf numFmtId="0" fontId="0" fillId="0" borderId="22" xfId="0" applyBorder="1"/>
    <xf numFmtId="0" fontId="9" fillId="0" borderId="0" xfId="1" applyFill="1" applyBorder="1" applyAlignment="1">
      <alignment vertical="top"/>
    </xf>
    <xf numFmtId="0" fontId="7" fillId="0" borderId="0" xfId="0" applyFont="1" applyFill="1" applyBorder="1" applyAlignment="1">
      <alignment horizontal="center" vertical="center" wrapText="1"/>
    </xf>
    <xf numFmtId="0" fontId="13" fillId="0" borderId="0" xfId="2" applyFill="1" applyBorder="1" applyAlignment="1" applyProtection="1">
      <alignment horizontal="right" vertical="center" wrapText="1"/>
      <protection locked="0"/>
    </xf>
    <xf numFmtId="0" fontId="0" fillId="0" borderId="0" xfId="0" applyFill="1"/>
    <xf numFmtId="0" fontId="0" fillId="0" borderId="0" xfId="0" applyFill="1" applyBorder="1"/>
    <xf numFmtId="0" fontId="18" fillId="0" borderId="0" xfId="3" applyFont="1" applyFill="1" applyBorder="1" applyAlignment="1">
      <alignment horizontal="left"/>
    </xf>
    <xf numFmtId="0" fontId="18" fillId="0" borderId="0" xfId="0" applyFont="1" applyFill="1" applyBorder="1" applyAlignment="1">
      <alignment horizontal="left"/>
    </xf>
    <xf numFmtId="0" fontId="18" fillId="0" borderId="23" xfId="3" applyFont="1" applyFill="1" applyBorder="1" applyAlignment="1">
      <alignment horizontal="center"/>
    </xf>
    <xf numFmtId="0" fontId="18" fillId="0" borderId="0" xfId="3" applyFont="1" applyFill="1" applyBorder="1" applyAlignment="1">
      <alignment horizontal="center"/>
    </xf>
    <xf numFmtId="0" fontId="0" fillId="0" borderId="0" xfId="0" applyBorder="1"/>
    <xf numFmtId="0" fontId="1" fillId="0" borderId="0" xfId="0" applyFont="1" applyBorder="1" applyAlignment="1">
      <alignment horizontal="center"/>
    </xf>
    <xf numFmtId="0" fontId="22" fillId="15" borderId="1" xfId="0" applyFont="1" applyFill="1" applyBorder="1" applyAlignment="1">
      <alignment horizontal="center" vertical="center"/>
    </xf>
    <xf numFmtId="0" fontId="22" fillId="14" borderId="2" xfId="0" applyFont="1" applyFill="1" applyBorder="1" applyAlignment="1">
      <alignment horizontal="center" vertical="center"/>
    </xf>
    <xf numFmtId="0" fontId="22" fillId="5" borderId="2" xfId="0" applyFont="1" applyFill="1" applyBorder="1" applyAlignment="1">
      <alignment horizontal="center" vertical="center"/>
    </xf>
    <xf numFmtId="0" fontId="22" fillId="4" borderId="2" xfId="0" applyFont="1" applyFill="1" applyBorder="1" applyAlignment="1">
      <alignment horizontal="center" vertical="center"/>
    </xf>
    <xf numFmtId="0" fontId="22" fillId="16" borderId="2" xfId="0" applyFont="1" applyFill="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left" vertical="center"/>
    </xf>
    <xf numFmtId="0" fontId="1" fillId="0" borderId="14" xfId="0" applyFont="1" applyBorder="1" applyAlignment="1"/>
    <xf numFmtId="0" fontId="1" fillId="0" borderId="14" xfId="0" applyFont="1" applyBorder="1"/>
    <xf numFmtId="0" fontId="13" fillId="0" borderId="0" xfId="2" applyFill="1" applyBorder="1"/>
    <xf numFmtId="0" fontId="22" fillId="15" borderId="1" xfId="0" applyFont="1" applyFill="1" applyBorder="1" applyAlignment="1">
      <alignment horizontal="center" vertical="center" wrapText="1"/>
    </xf>
    <xf numFmtId="0" fontId="22" fillId="14"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16" borderId="2" xfId="0" applyFont="1" applyFill="1" applyBorder="1" applyAlignment="1">
      <alignment horizontal="center" vertical="center" wrapText="1"/>
    </xf>
    <xf numFmtId="0" fontId="23" fillId="0" borderId="0" xfId="0" applyFont="1" applyAlignment="1">
      <alignment horizontal="left" vertical="center" wrapText="1" indent="5"/>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164" fontId="0" fillId="0" borderId="0" xfId="0" quotePrefix="1" applyNumberFormat="1"/>
    <xf numFmtId="2" fontId="18" fillId="13" borderId="13" xfId="3" applyNumberFormat="1" applyFont="1" applyAlignment="1">
      <alignment horizontal="center"/>
    </xf>
    <xf numFmtId="0" fontId="0" fillId="0" borderId="0" xfId="0" applyAlignment="1">
      <alignment horizontal="right"/>
    </xf>
    <xf numFmtId="10" fontId="1" fillId="0" borderId="0" xfId="0" applyNumberFormat="1" applyFont="1"/>
    <xf numFmtId="0" fontId="13" fillId="12" borderId="18" xfId="2" applyBorder="1" applyProtection="1">
      <protection locked="0"/>
    </xf>
    <xf numFmtId="0" fontId="21" fillId="0" borderId="0" xfId="0" applyFont="1" applyAlignment="1">
      <alignment vertical="top"/>
    </xf>
    <xf numFmtId="0" fontId="1" fillId="0" borderId="14" xfId="0" applyFont="1" applyBorder="1" applyAlignment="1">
      <alignment horizontal="center" vertical="center" wrapText="1"/>
    </xf>
    <xf numFmtId="0" fontId="0" fillId="0" borderId="0" xfId="0" applyAlignment="1">
      <alignment vertical="top" wrapText="1"/>
    </xf>
    <xf numFmtId="0" fontId="16" fillId="0" borderId="14" xfId="0" applyFont="1" applyBorder="1" applyAlignment="1">
      <alignment vertical="top" wrapText="1"/>
    </xf>
    <xf numFmtId="0" fontId="0" fillId="0" borderId="14" xfId="0" applyFont="1" applyBorder="1" applyAlignment="1">
      <alignment vertical="top" wrapText="1"/>
    </xf>
    <xf numFmtId="0" fontId="25" fillId="0" borderId="14" xfId="0" applyFont="1" applyFill="1" applyBorder="1" applyAlignment="1">
      <alignment vertical="center" wrapText="1"/>
    </xf>
    <xf numFmtId="0" fontId="25" fillId="0" borderId="14" xfId="0" applyFont="1" applyFill="1" applyBorder="1" applyAlignment="1">
      <alignment vertical="top" wrapText="1"/>
    </xf>
    <xf numFmtId="0" fontId="9" fillId="0" borderId="14" xfId="1" applyFont="1" applyBorder="1" applyAlignment="1">
      <alignment vertical="top" wrapText="1"/>
    </xf>
    <xf numFmtId="0" fontId="12" fillId="0" borderId="14" xfId="0" applyFont="1" applyBorder="1" applyAlignment="1">
      <alignment horizontal="center" vertical="center"/>
    </xf>
    <xf numFmtId="0" fontId="12" fillId="0" borderId="0" xfId="0" applyFont="1"/>
    <xf numFmtId="0" fontId="9" fillId="0" borderId="14" xfId="1" applyFont="1" applyBorder="1" applyAlignment="1">
      <alignment horizontal="left" vertical="top" wrapText="1"/>
    </xf>
    <xf numFmtId="0" fontId="12" fillId="0" borderId="0" xfId="0" applyFont="1" applyAlignment="1">
      <alignment horizontal="center"/>
    </xf>
    <xf numFmtId="0" fontId="9" fillId="0" borderId="14" xfId="1" applyFont="1" applyFill="1" applyBorder="1" applyAlignment="1">
      <alignment vertical="top" wrapText="1"/>
    </xf>
    <xf numFmtId="0" fontId="12" fillId="0" borderId="14" xfId="0" applyFont="1" applyBorder="1" applyAlignment="1">
      <alignment vertical="top" wrapText="1"/>
    </xf>
    <xf numFmtId="0" fontId="12" fillId="0" borderId="0" xfId="0" applyFont="1" applyAlignment="1">
      <alignment vertical="top" wrapText="1"/>
    </xf>
    <xf numFmtId="10" fontId="12" fillId="0" borderId="14" xfId="0" applyNumberFormat="1" applyFont="1" applyBorder="1" applyAlignment="1">
      <alignment vertical="top" wrapText="1"/>
    </xf>
    <xf numFmtId="2" fontId="12" fillId="0" borderId="14" xfId="0" applyNumberFormat="1" applyFont="1" applyBorder="1" applyAlignment="1">
      <alignment vertical="top" wrapText="1"/>
    </xf>
    <xf numFmtId="0" fontId="13" fillId="12" borderId="14" xfId="2" applyBorder="1" applyAlignment="1" applyProtection="1">
      <alignment horizontal="center" vertical="center" wrapText="1"/>
      <protection locked="0"/>
    </xf>
    <xf numFmtId="0" fontId="19" fillId="0" borderId="0" xfId="0" applyFont="1" applyAlignment="1">
      <alignment vertical="top" wrapText="1"/>
    </xf>
    <xf numFmtId="0" fontId="13" fillId="12" borderId="14" xfId="2" applyBorder="1" applyAlignment="1" applyProtection="1">
      <alignment horizontal="center" vertical="center"/>
      <protection locked="0"/>
    </xf>
    <xf numFmtId="0" fontId="0" fillId="11" borderId="8" xfId="0" applyFill="1" applyBorder="1" applyAlignment="1">
      <alignment vertical="top" wrapText="1"/>
    </xf>
    <xf numFmtId="0" fontId="0" fillId="10" borderId="9" xfId="0" applyFill="1"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0" fontId="16" fillId="0" borderId="0" xfId="0" applyFont="1" applyAlignment="1">
      <alignment wrapText="1"/>
    </xf>
    <xf numFmtId="0" fontId="0" fillId="0" borderId="0" xfId="0" applyAlignment="1">
      <alignment vertical="top"/>
    </xf>
    <xf numFmtId="0" fontId="18" fillId="13" borderId="13" xfId="3" applyFont="1" applyAlignment="1">
      <alignment horizontal="center" vertical="center"/>
    </xf>
    <xf numFmtId="0" fontId="13" fillId="12" borderId="18" xfId="2" applyBorder="1" applyAlignment="1" applyProtection="1">
      <alignment horizontal="center" vertical="center"/>
      <protection locked="0"/>
    </xf>
    <xf numFmtId="0" fontId="0" fillId="0" borderId="0" xfId="0" applyFont="1" applyAlignment="1">
      <alignment vertical="top"/>
    </xf>
    <xf numFmtId="0" fontId="13" fillId="12" borderId="18" xfId="2" applyFont="1" applyBorder="1" applyAlignment="1" applyProtection="1">
      <alignment horizontal="center" vertical="center"/>
      <protection locked="0"/>
    </xf>
    <xf numFmtId="0" fontId="14" fillId="0" borderId="0" xfId="0" applyFont="1" applyAlignment="1">
      <alignment vertical="top" wrapText="1"/>
    </xf>
    <xf numFmtId="0" fontId="17" fillId="13" borderId="13" xfId="3" applyFont="1" applyAlignment="1">
      <alignment horizontal="center" vertical="center"/>
    </xf>
    <xf numFmtId="0" fontId="0" fillId="0" borderId="0" xfId="0" applyAlignment="1">
      <alignment horizontal="left" wrapText="1"/>
    </xf>
    <xf numFmtId="0" fontId="0" fillId="9" borderId="6" xfId="0" applyFill="1" applyBorder="1" applyAlignment="1">
      <alignment horizontal="left" vertical="center"/>
    </xf>
    <xf numFmtId="0" fontId="0" fillId="0" borderId="0" xfId="0" applyFont="1" applyAlignment="1">
      <alignment vertical="top" wrapText="1"/>
    </xf>
    <xf numFmtId="0" fontId="13" fillId="12" borderId="14" xfId="2" applyFont="1" applyBorder="1" applyAlignment="1" applyProtection="1">
      <alignment horizontal="center" vertical="center" wrapText="1"/>
      <protection locked="0"/>
    </xf>
    <xf numFmtId="0" fontId="8" fillId="9" borderId="12" xfId="0" applyFont="1" applyFill="1" applyBorder="1" applyAlignment="1">
      <alignment horizontal="center"/>
    </xf>
    <xf numFmtId="0" fontId="15" fillId="0" borderId="0" xfId="0" applyFont="1" applyAlignment="1">
      <alignment vertical="top"/>
    </xf>
    <xf numFmtId="0" fontId="7" fillId="3" borderId="15"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9" borderId="11" xfId="0" applyFont="1" applyFill="1" applyBorder="1" applyAlignment="1">
      <alignment horizontal="center" vertical="center" wrapText="1"/>
    </xf>
    <xf numFmtId="0" fontId="0" fillId="0" borderId="14" xfId="0" applyFont="1" applyBorder="1" applyAlignment="1">
      <alignment horizontal="center" vertical="top" wrapText="1"/>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9" fillId="0" borderId="0" xfId="1" applyFont="1" applyAlignment="1">
      <alignment vertical="center"/>
    </xf>
    <xf numFmtId="0" fontId="2" fillId="0" borderId="0" xfId="0" applyFont="1" applyAlignment="1">
      <alignment horizontal="center" vertical="center"/>
    </xf>
    <xf numFmtId="0" fontId="9" fillId="0" borderId="0" xfId="1" applyFill="1" applyBorder="1" applyAlignment="1">
      <alignment horizontal="center" vertical="center"/>
    </xf>
    <xf numFmtId="0" fontId="0" fillId="0" borderId="14" xfId="0" applyBorder="1" applyAlignment="1">
      <alignment horizontal="center" vertical="center" wrapText="1"/>
    </xf>
    <xf numFmtId="0" fontId="18" fillId="0" borderId="0" xfId="0" applyFont="1" applyBorder="1" applyAlignment="1">
      <alignment horizontal="center" vertical="center"/>
    </xf>
    <xf numFmtId="0" fontId="8" fillId="9" borderId="9" xfId="0" applyFont="1" applyFill="1" applyBorder="1" applyAlignment="1">
      <alignment horizontal="center" vertical="center" wrapText="1"/>
    </xf>
    <xf numFmtId="0" fontId="1" fillId="0" borderId="0" xfId="0" applyFont="1" applyBorder="1" applyAlignment="1">
      <alignment horizontal="center" vertical="top" wrapText="1"/>
    </xf>
    <xf numFmtId="0" fontId="16" fillId="0" borderId="0" xfId="0" applyFont="1" applyAlignment="1">
      <alignment vertical="top" wrapText="1"/>
    </xf>
    <xf numFmtId="0" fontId="24" fillId="0" borderId="0" xfId="0" applyFont="1"/>
    <xf numFmtId="0" fontId="13" fillId="12" borderId="14" xfId="2" applyBorder="1" applyAlignment="1" applyProtection="1">
      <alignment wrapText="1"/>
      <protection locked="0"/>
    </xf>
    <xf numFmtId="0" fontId="17" fillId="0" borderId="24" xfId="0" applyFont="1" applyBorder="1"/>
    <xf numFmtId="0" fontId="12" fillId="0" borderId="0" xfId="0" applyFont="1" applyAlignment="1">
      <alignment horizontal="center" vertical="center" wrapText="1"/>
    </xf>
    <xf numFmtId="0" fontId="9" fillId="0" borderId="17" xfId="1" applyFont="1" applyFill="1" applyBorder="1" applyAlignment="1">
      <alignment vertical="top" wrapText="1"/>
    </xf>
    <xf numFmtId="0" fontId="12" fillId="0" borderId="14" xfId="0" applyFont="1" applyBorder="1" applyAlignment="1">
      <alignment wrapText="1"/>
    </xf>
    <xf numFmtId="0" fontId="12" fillId="0" borderId="0" xfId="0" applyFont="1" applyAlignment="1">
      <alignment wrapText="1"/>
    </xf>
    <xf numFmtId="0" fontId="9" fillId="0" borderId="14" xfId="1" applyFont="1" applyBorder="1" applyAlignment="1">
      <alignment wrapText="1"/>
    </xf>
    <xf numFmtId="2" fontId="12" fillId="0" borderId="14" xfId="0" applyNumberFormat="1" applyFont="1" applyBorder="1" applyAlignment="1">
      <alignment wrapText="1"/>
    </xf>
    <xf numFmtId="0" fontId="24" fillId="17" borderId="0" xfId="1" applyFont="1" applyFill="1" applyBorder="1" applyAlignment="1">
      <alignment vertical="center"/>
    </xf>
    <xf numFmtId="0" fontId="9" fillId="0" borderId="0" xfId="1" applyAlignment="1"/>
    <xf numFmtId="0" fontId="0" fillId="0" borderId="21" xfId="0" applyBorder="1" applyAlignment="1">
      <alignment wrapText="1"/>
    </xf>
    <xf numFmtId="0" fontId="0" fillId="0" borderId="22" xfId="0" applyBorder="1" applyAlignment="1">
      <alignment wrapText="1"/>
    </xf>
    <xf numFmtId="0" fontId="17" fillId="13" borderId="13" xfId="3" applyFont="1" applyAlignment="1">
      <alignment horizontal="center" vertical="center" wrapText="1"/>
    </xf>
    <xf numFmtId="0" fontId="18" fillId="13" borderId="13" xfId="3" applyFont="1" applyAlignment="1">
      <alignment horizontal="center" vertical="center" wrapText="1"/>
    </xf>
    <xf numFmtId="0" fontId="13" fillId="12" borderId="14" xfId="2" applyBorder="1" applyAlignment="1" applyProtection="1">
      <alignment vertical="top" wrapText="1"/>
      <protection locked="0"/>
    </xf>
    <xf numFmtId="0" fontId="7" fillId="9" borderId="9" xfId="0" applyFont="1" applyFill="1" applyBorder="1" applyAlignment="1">
      <alignment horizontal="center" vertical="center" wrapText="1"/>
    </xf>
    <xf numFmtId="0" fontId="19" fillId="0" borderId="0" xfId="0" applyFont="1" applyAlignment="1">
      <alignment vertical="center"/>
    </xf>
    <xf numFmtId="0" fontId="0" fillId="0" borderId="0" xfId="0" applyAlignment="1">
      <alignment vertical="center"/>
    </xf>
    <xf numFmtId="0" fontId="19" fillId="0" borderId="0" xfId="0" applyFont="1" applyAlignment="1">
      <alignment vertical="center" wrapText="1"/>
    </xf>
    <xf numFmtId="0" fontId="0" fillId="0" borderId="0" xfId="0" applyAlignment="1">
      <alignment vertical="center" wrapText="1"/>
    </xf>
    <xf numFmtId="0" fontId="1" fillId="0" borderId="0" xfId="0" applyFont="1" applyAlignment="1">
      <alignment vertical="top"/>
    </xf>
    <xf numFmtId="0" fontId="8" fillId="9" borderId="12" xfId="0" applyFont="1" applyFill="1" applyBorder="1" applyAlignment="1">
      <alignment vertical="center"/>
    </xf>
    <xf numFmtId="0" fontId="1" fillId="0" borderId="0" xfId="0" applyFont="1" applyAlignment="1">
      <alignment vertical="center"/>
    </xf>
    <xf numFmtId="0" fontId="0" fillId="0" borderId="0" xfId="0" applyFont="1" applyAlignment="1">
      <alignment horizontal="right"/>
    </xf>
    <xf numFmtId="0" fontId="29" fillId="0" borderId="0" xfId="0" applyFont="1" applyAlignment="1">
      <alignment wrapText="1"/>
    </xf>
    <xf numFmtId="0" fontId="15" fillId="0" borderId="0" xfId="0" applyFont="1" applyFill="1" applyProtection="1">
      <protection hidden="1"/>
    </xf>
    <xf numFmtId="2" fontId="13" fillId="12" borderId="14" xfId="2" applyNumberFormat="1" applyBorder="1" applyAlignment="1" applyProtection="1">
      <alignment horizontal="center" vertical="center"/>
      <protection locked="0"/>
    </xf>
    <xf numFmtId="2" fontId="0" fillId="0" borderId="0" xfId="0" applyNumberFormat="1" applyAlignment="1">
      <alignment vertical="center"/>
    </xf>
    <xf numFmtId="0" fontId="0" fillId="0" borderId="0" xfId="0" applyAlignment="1">
      <alignment horizontal="center"/>
    </xf>
    <xf numFmtId="0" fontId="0" fillId="0" borderId="26" xfId="0" applyBorder="1"/>
    <xf numFmtId="0" fontId="1" fillId="0" borderId="0" xfId="0" applyFont="1" applyBorder="1" applyAlignment="1">
      <alignment vertical="center"/>
    </xf>
    <xf numFmtId="0" fontId="0" fillId="0" borderId="0" xfId="0" quotePrefix="1"/>
    <xf numFmtId="0" fontId="17" fillId="0" borderId="0" xfId="0" applyFont="1" applyFill="1" applyBorder="1" applyAlignment="1">
      <alignment horizontal="left" wrapText="1"/>
    </xf>
    <xf numFmtId="0" fontId="18" fillId="0" borderId="0" xfId="0" applyFont="1" applyBorder="1" applyAlignment="1">
      <alignment horizontal="left" wrapText="1"/>
    </xf>
    <xf numFmtId="0" fontId="0" fillId="0" borderId="27" xfId="0" applyBorder="1"/>
    <xf numFmtId="0" fontId="20" fillId="0" borderId="0" xfId="1" applyFont="1" applyAlignment="1">
      <alignment vertical="top" wrapText="1"/>
    </xf>
    <xf numFmtId="0" fontId="25" fillId="0" borderId="0" xfId="0" applyFont="1" applyFill="1" applyBorder="1" applyAlignment="1">
      <alignment vertical="center" wrapText="1"/>
    </xf>
    <xf numFmtId="0" fontId="1" fillId="9" borderId="28" xfId="0" applyFont="1" applyFill="1" applyBorder="1" applyAlignment="1">
      <alignment horizontal="right" vertical="center"/>
    </xf>
    <xf numFmtId="0" fontId="30" fillId="0" borderId="0" xfId="0" applyFont="1"/>
    <xf numFmtId="0" fontId="31" fillId="18" borderId="29" xfId="0" applyFont="1" applyFill="1" applyBorder="1" applyAlignment="1"/>
    <xf numFmtId="0" fontId="31" fillId="19" borderId="30" xfId="0" applyFont="1" applyFill="1" applyBorder="1" applyAlignment="1">
      <alignment horizontal="center"/>
    </xf>
    <xf numFmtId="0" fontId="32" fillId="0" borderId="0" xfId="1" applyFont="1" applyAlignment="1">
      <alignment wrapText="1"/>
    </xf>
    <xf numFmtId="2" fontId="18" fillId="13" borderId="13" xfId="3" applyNumberFormat="1" applyFont="1" applyAlignment="1">
      <alignment horizontal="center" vertical="top" wrapText="1"/>
    </xf>
    <xf numFmtId="2" fontId="31" fillId="19" borderId="30" xfId="0" applyNumberFormat="1" applyFont="1" applyFill="1" applyBorder="1" applyAlignment="1">
      <alignment horizontal="center"/>
    </xf>
    <xf numFmtId="2" fontId="18" fillId="13" borderId="13" xfId="3" applyNumberFormat="1" applyFont="1" applyAlignment="1">
      <alignment horizontal="center" vertical="top"/>
    </xf>
    <xf numFmtId="0" fontId="1" fillId="0" borderId="0" xfId="0" applyFont="1" applyBorder="1" applyAlignment="1"/>
    <xf numFmtId="0" fontId="13" fillId="0" borderId="0" xfId="2" applyFill="1" applyBorder="1" applyProtection="1">
      <protection locked="0"/>
    </xf>
    <xf numFmtId="165" fontId="31" fillId="19" borderId="30" xfId="0" applyNumberFormat="1" applyFont="1" applyFill="1" applyBorder="1" applyAlignment="1">
      <alignment horizontal="center"/>
    </xf>
    <xf numFmtId="166" fontId="31" fillId="19" borderId="30" xfId="0" applyNumberFormat="1" applyFont="1" applyFill="1" applyBorder="1" applyAlignment="1">
      <alignment horizontal="center"/>
    </xf>
    <xf numFmtId="0" fontId="27" fillId="0" borderId="14" xfId="0" applyFont="1" applyBorder="1" applyAlignment="1">
      <alignment vertical="top"/>
    </xf>
    <xf numFmtId="0" fontId="34" fillId="0" borderId="0" xfId="0" applyFont="1"/>
    <xf numFmtId="0" fontId="33" fillId="20" borderId="0" xfId="4"/>
    <xf numFmtId="0" fontId="1" fillId="13" borderId="13" xfId="3" applyFont="1" applyAlignment="1">
      <alignment vertical="top"/>
    </xf>
    <xf numFmtId="0" fontId="1" fillId="13" borderId="13" xfId="3" applyFont="1"/>
    <xf numFmtId="0" fontId="29" fillId="0" borderId="0" xfId="0" applyFont="1"/>
    <xf numFmtId="0" fontId="9" fillId="0" borderId="0" xfId="1"/>
    <xf numFmtId="2" fontId="1" fillId="13" borderId="13" xfId="3" applyNumberFormat="1" applyFont="1"/>
    <xf numFmtId="0" fontId="35" fillId="0" borderId="0" xfId="0" applyFont="1"/>
    <xf numFmtId="0" fontId="36" fillId="0" borderId="0" xfId="0" applyFont="1"/>
    <xf numFmtId="167" fontId="31" fillId="19" borderId="30" xfId="0" applyNumberFormat="1" applyFont="1" applyFill="1" applyBorder="1" applyAlignment="1">
      <alignment horizontal="center"/>
    </xf>
    <xf numFmtId="2" fontId="13" fillId="12" borderId="14" xfId="2" applyNumberFormat="1" applyFont="1" applyBorder="1" applyAlignment="1" applyProtection="1">
      <alignment horizontal="center" vertical="center"/>
      <protection locked="0"/>
    </xf>
    <xf numFmtId="0" fontId="37" fillId="0" borderId="14" xfId="0" applyFont="1" applyBorder="1" applyAlignment="1">
      <alignment horizontal="center" vertical="center"/>
    </xf>
    <xf numFmtId="0" fontId="39" fillId="0" borderId="14" xfId="5" applyFont="1" applyBorder="1" applyAlignment="1">
      <alignment horizontal="center" vertical="center"/>
    </xf>
    <xf numFmtId="0" fontId="40" fillId="0" borderId="14" xfId="0" applyFont="1" applyBorder="1" applyAlignment="1">
      <alignment horizontal="left" vertical="center" wrapText="1"/>
    </xf>
    <xf numFmtId="0" fontId="41" fillId="0" borderId="14" xfId="0" applyFont="1" applyBorder="1" applyAlignment="1">
      <alignment horizontal="left" vertical="center" wrapText="1"/>
    </xf>
    <xf numFmtId="0" fontId="0" fillId="14" borderId="14" xfId="0" applyFill="1" applyBorder="1" applyAlignment="1">
      <alignment horizontal="center" vertical="center"/>
    </xf>
    <xf numFmtId="0" fontId="0" fillId="14" borderId="14" xfId="0" applyFill="1" applyBorder="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xf>
    <xf numFmtId="0" fontId="0" fillId="0" borderId="14" xfId="0" applyFill="1" applyBorder="1" applyAlignment="1">
      <alignment horizontal="center" vertical="center"/>
    </xf>
    <xf numFmtId="0" fontId="0" fillId="0" borderId="14" xfId="0" applyFill="1" applyBorder="1" applyAlignment="1">
      <alignment horizontal="center"/>
    </xf>
    <xf numFmtId="166" fontId="0" fillId="0" borderId="14" xfId="0" applyNumberFormat="1" applyFill="1" applyBorder="1" applyAlignment="1">
      <alignment horizontal="center"/>
    </xf>
    <xf numFmtId="166" fontId="0" fillId="0" borderId="14" xfId="0" applyNumberFormat="1" applyBorder="1" applyAlignment="1">
      <alignment horizontal="center"/>
    </xf>
    <xf numFmtId="0" fontId="37" fillId="0" borderId="14" xfId="0" applyFont="1" applyBorder="1" applyAlignment="1">
      <alignment horizontal="left" vertical="center"/>
    </xf>
    <xf numFmtId="0" fontId="0" fillId="14" borderId="14" xfId="0" applyFill="1" applyBorder="1" applyAlignment="1"/>
    <xf numFmtId="0" fontId="40" fillId="0" borderId="14" xfId="0" applyFont="1" applyBorder="1" applyAlignment="1">
      <alignment horizontal="left" vertical="center"/>
    </xf>
    <xf numFmtId="0" fontId="41" fillId="0" borderId="14" xfId="0" applyFont="1" applyBorder="1" applyAlignment="1">
      <alignment horizontal="left" vertical="center"/>
    </xf>
    <xf numFmtId="10" fontId="13" fillId="12" borderId="18" xfId="2" applyNumberFormat="1" applyFont="1" applyBorder="1" applyAlignment="1" applyProtection="1">
      <alignment horizontal="center" vertical="center"/>
      <protection locked="0"/>
    </xf>
    <xf numFmtId="10" fontId="31" fillId="19" borderId="30" xfId="0" applyNumberFormat="1" applyFont="1" applyFill="1" applyBorder="1" applyAlignment="1">
      <alignment horizontal="center"/>
    </xf>
    <xf numFmtId="0" fontId="1" fillId="21" borderId="14" xfId="0" applyFont="1" applyFill="1" applyBorder="1" applyAlignment="1">
      <alignment horizontal="center" vertical="center" wrapText="1"/>
    </xf>
    <xf numFmtId="0" fontId="12" fillId="21" borderId="14" xfId="0" quotePrefix="1" applyFont="1" applyFill="1" applyBorder="1" applyAlignment="1">
      <alignment wrapText="1"/>
    </xf>
    <xf numFmtId="0" fontId="12" fillId="21" borderId="14" xfId="0" quotePrefix="1" applyFont="1" applyFill="1" applyBorder="1" applyAlignment="1">
      <alignment vertical="top" wrapText="1"/>
    </xf>
    <xf numFmtId="0" fontId="12" fillId="21" borderId="14" xfId="0" applyFont="1" applyFill="1" applyBorder="1" applyAlignment="1">
      <alignment wrapText="1"/>
    </xf>
    <xf numFmtId="2" fontId="12" fillId="21" borderId="14" xfId="0" applyNumberFormat="1" applyFont="1" applyFill="1" applyBorder="1" applyAlignment="1">
      <alignment wrapText="1"/>
    </xf>
    <xf numFmtId="2" fontId="12" fillId="21" borderId="14" xfId="0" applyNumberFormat="1" applyFont="1" applyFill="1" applyBorder="1" applyAlignment="1">
      <alignment vertical="top" wrapText="1"/>
    </xf>
    <xf numFmtId="10" fontId="12" fillId="21" borderId="14" xfId="0" quotePrefix="1" applyNumberFormat="1" applyFont="1" applyFill="1" applyBorder="1" applyAlignment="1">
      <alignment vertical="top" wrapText="1"/>
    </xf>
    <xf numFmtId="0" fontId="12" fillId="21" borderId="14" xfId="0" applyFont="1" applyFill="1" applyBorder="1" applyAlignment="1">
      <alignment vertical="top" wrapText="1"/>
    </xf>
    <xf numFmtId="166" fontId="12" fillId="21" borderId="14" xfId="0" applyNumberFormat="1" applyFont="1" applyFill="1" applyBorder="1" applyAlignment="1">
      <alignment vertical="top" wrapText="1"/>
    </xf>
    <xf numFmtId="0" fontId="0" fillId="14" borderId="31" xfId="0" applyFill="1" applyBorder="1" applyAlignment="1"/>
    <xf numFmtId="0" fontId="0" fillId="0" borderId="0" xfId="0" applyFont="1" applyAlignment="1">
      <alignment horizontal="center"/>
    </xf>
    <xf numFmtId="0" fontId="26" fillId="0" borderId="0" xfId="0" applyFont="1" applyAlignment="1">
      <alignment vertical="center"/>
    </xf>
    <xf numFmtId="0" fontId="13" fillId="12" borderId="0" xfId="2"/>
    <xf numFmtId="0" fontId="13" fillId="12" borderId="0" xfId="2" applyAlignment="1">
      <alignment wrapText="1"/>
    </xf>
    <xf numFmtId="0" fontId="0" fillId="0" borderId="14" xfId="0" applyBorder="1" applyAlignment="1">
      <alignment vertical="top"/>
    </xf>
    <xf numFmtId="165" fontId="31" fillId="19" borderId="30" xfId="0" applyNumberFormat="1" applyFont="1" applyFill="1" applyBorder="1" applyAlignment="1">
      <alignment horizontal="center" wrapText="1"/>
    </xf>
    <xf numFmtId="165" fontId="31" fillId="19" borderId="30" xfId="0" applyNumberFormat="1" applyFont="1" applyFill="1" applyBorder="1" applyAlignment="1">
      <alignment horizontal="center" vertical="top" wrapText="1"/>
    </xf>
    <xf numFmtId="0" fontId="13" fillId="12" borderId="14" xfId="2" applyBorder="1" applyAlignment="1" applyProtection="1">
      <alignment horizontal="left" vertical="center" wrapText="1"/>
      <protection locked="0"/>
    </xf>
    <xf numFmtId="0" fontId="12" fillId="0" borderId="14" xfId="0" applyFont="1" applyBorder="1" applyAlignment="1">
      <alignment horizontal="center"/>
    </xf>
    <xf numFmtId="0" fontId="9" fillId="0" borderId="14" xfId="1" applyBorder="1"/>
    <xf numFmtId="0" fontId="33" fillId="20" borderId="13" xfId="4" applyBorder="1" applyAlignment="1" applyProtection="1">
      <alignment vertical="top"/>
      <protection locked="0"/>
    </xf>
    <xf numFmtId="0" fontId="33" fillId="20" borderId="13" xfId="4" applyBorder="1" applyProtection="1">
      <protection locked="0"/>
    </xf>
    <xf numFmtId="0" fontId="28" fillId="12" borderId="25" xfId="2" applyFont="1" applyBorder="1" applyProtection="1">
      <protection locked="0"/>
    </xf>
    <xf numFmtId="0" fontId="16" fillId="0" borderId="0" xfId="0" applyFont="1" applyAlignment="1">
      <alignment horizontal="left" vertical="top"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2" borderId="10" xfId="0" applyFill="1" applyBorder="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0" borderId="0" xfId="0" applyAlignment="1">
      <alignment horizontal="left" vertical="top" wrapText="1"/>
    </xf>
    <xf numFmtId="0" fontId="7" fillId="9" borderId="12"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37" fillId="0" borderId="16" xfId="0" applyFont="1" applyBorder="1" applyAlignment="1">
      <alignment horizontal="center" vertical="center"/>
    </xf>
    <xf numFmtId="0" fontId="37" fillId="0" borderId="31" xfId="0" applyFont="1" applyBorder="1" applyAlignment="1">
      <alignment horizontal="center" vertical="center"/>
    </xf>
    <xf numFmtId="0" fontId="37" fillId="0" borderId="17" xfId="0" applyFont="1" applyBorder="1" applyAlignment="1">
      <alignment horizontal="center" vertical="center"/>
    </xf>
    <xf numFmtId="0" fontId="37" fillId="0" borderId="16" xfId="0" applyFont="1" applyBorder="1" applyAlignment="1">
      <alignment horizontal="left" vertical="center"/>
    </xf>
    <xf numFmtId="0" fontId="37" fillId="0" borderId="31" xfId="0" applyFont="1" applyBorder="1" applyAlignment="1">
      <alignment horizontal="left" vertical="center"/>
    </xf>
    <xf numFmtId="0" fontId="37" fillId="0" borderId="17" xfId="0" applyFont="1" applyBorder="1" applyAlignment="1">
      <alignment horizontal="left" vertical="center"/>
    </xf>
    <xf numFmtId="0" fontId="0" fillId="0" borderId="16" xfId="0" applyBorder="1" applyAlignment="1">
      <alignment horizontal="left" vertical="center"/>
    </xf>
    <xf numFmtId="0" fontId="0" fillId="0" borderId="31" xfId="0" applyBorder="1" applyAlignment="1">
      <alignment horizontal="left" vertical="center"/>
    </xf>
    <xf numFmtId="0" fontId="0" fillId="0" borderId="17" xfId="0" applyBorder="1" applyAlignment="1">
      <alignment horizontal="left" vertical="center"/>
    </xf>
    <xf numFmtId="0" fontId="26" fillId="0" borderId="0" xfId="0" applyFont="1" applyAlignment="1">
      <alignment wrapText="1"/>
    </xf>
    <xf numFmtId="0" fontId="42" fillId="0" borderId="0" xfId="0" applyFont="1" applyAlignment="1">
      <alignment horizontal="left" wrapText="1"/>
    </xf>
    <xf numFmtId="0" fontId="43" fillId="0" borderId="0" xfId="1" applyFont="1" applyAlignment="1"/>
  </cellXfs>
  <cellStyles count="6">
    <cellStyle name="Hypertextový odkaz" xfId="1" builtinId="8"/>
    <cellStyle name="Neutrální" xfId="4" builtinId="28"/>
    <cellStyle name="Normální" xfId="0" builtinId="0"/>
    <cellStyle name="Normální 2" xfId="5"/>
    <cellStyle name="Poznámka" xfId="3" builtinId="10"/>
    <cellStyle name="Správně" xfId="2" builtinId="26"/>
  </cellStyles>
  <dxfs count="32">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theme="9" tint="0.59996337778862885"/>
        </patternFill>
      </fill>
    </dxf>
    <dxf>
      <font>
        <b/>
        <i val="0"/>
        <color rgb="FF00B050"/>
      </font>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hyperlink" Target="#'B-POP1'!A1"/><Relationship Id="rId1" Type="http://schemas.openxmlformats.org/officeDocument/2006/relationships/hyperlink" Target="#Souhrn!A1"/></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X3.pdf" TargetMode="External"/><Relationship Id="rId7" Type="http://schemas.openxmlformats.org/officeDocument/2006/relationships/hyperlink" Target="https://www.klimasken.cz/en/download/metodicky_list-B-EX3.pdf" TargetMode="External"/><Relationship Id="rId2" Type="http://schemas.openxmlformats.org/officeDocument/2006/relationships/hyperlink" Target="#'B-AD1'!A1"/><Relationship Id="rId1" Type="http://schemas.openxmlformats.org/officeDocument/2006/relationships/hyperlink" Target="#'B-EX2'!A1"/><Relationship Id="rId6" Type="http://schemas.openxmlformats.org/officeDocument/2006/relationships/image" Target="../media/image2.png"/><Relationship Id="rId5" Type="http://schemas.openxmlformats.org/officeDocument/2006/relationships/hyperlink" Target="https://www.klimasken.cz/sk/download/metodicky_list-B-EX3.pdf" TargetMode="External"/><Relationship Id="rId4" Type="http://schemas.openxmlformats.org/officeDocument/2006/relationships/image" Target="../media/image1.png"/></Relationships>
</file>

<file path=xl/drawings/_rels/drawing1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X4.pdf" TargetMode="External"/><Relationship Id="rId7" Type="http://schemas.openxmlformats.org/officeDocument/2006/relationships/hyperlink" Target="https://www.klimasken.cz/en/download/metodicky_list-B-EX4.pdf" TargetMode="External"/><Relationship Id="rId2" Type="http://schemas.openxmlformats.org/officeDocument/2006/relationships/hyperlink" Target="#'B-AD1'!A1"/><Relationship Id="rId1" Type="http://schemas.openxmlformats.org/officeDocument/2006/relationships/hyperlink" Target="#'B-EX3'!A1"/><Relationship Id="rId6" Type="http://schemas.openxmlformats.org/officeDocument/2006/relationships/image" Target="../media/image2.png"/><Relationship Id="rId5" Type="http://schemas.openxmlformats.org/officeDocument/2006/relationships/hyperlink" Target="https://www.klimasken.cz/sk/download/metodicky_list-B-EX4.pdf" TargetMode="External"/><Relationship Id="rId4" Type="http://schemas.openxmlformats.org/officeDocument/2006/relationships/image" Target="../media/image1.png"/></Relationships>
</file>

<file path=xl/drawings/_rels/drawing1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1.pdf" TargetMode="External"/><Relationship Id="rId7" Type="http://schemas.openxmlformats.org/officeDocument/2006/relationships/hyperlink" Target="https://www.klimasken.cz/en/download/metodicky_list-B-AD1.pdf" TargetMode="External"/><Relationship Id="rId2" Type="http://schemas.openxmlformats.org/officeDocument/2006/relationships/hyperlink" Target="#'B-AD2'!A1"/><Relationship Id="rId1" Type="http://schemas.openxmlformats.org/officeDocument/2006/relationships/hyperlink" Target="#'B-EX3'!A1"/><Relationship Id="rId6" Type="http://schemas.openxmlformats.org/officeDocument/2006/relationships/image" Target="../media/image2.png"/><Relationship Id="rId5" Type="http://schemas.openxmlformats.org/officeDocument/2006/relationships/hyperlink" Target="https://www.klimasken.cz/sk/download/metodicky_list-B-AD1.pdf" TargetMode="External"/><Relationship Id="rId4" Type="http://schemas.openxmlformats.org/officeDocument/2006/relationships/image" Target="../media/image1.png"/></Relationships>
</file>

<file path=xl/drawings/_rels/drawing1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2.pdf" TargetMode="External"/><Relationship Id="rId7" Type="http://schemas.openxmlformats.org/officeDocument/2006/relationships/hyperlink" Target="https://www.klimasken.cz/en/download/metodicky_list-B-AD2.pdf" TargetMode="External"/><Relationship Id="rId2" Type="http://schemas.openxmlformats.org/officeDocument/2006/relationships/hyperlink" Target="#'B-AD3'!A1"/><Relationship Id="rId1" Type="http://schemas.openxmlformats.org/officeDocument/2006/relationships/hyperlink" Target="#'B-AD1'!A1"/><Relationship Id="rId6" Type="http://schemas.openxmlformats.org/officeDocument/2006/relationships/image" Target="../media/image2.png"/><Relationship Id="rId5" Type="http://schemas.openxmlformats.org/officeDocument/2006/relationships/hyperlink" Target="https://www.klimasken.cz/sk/download/metodicky_list-B-AD2.pdf" TargetMode="External"/><Relationship Id="rId4" Type="http://schemas.openxmlformats.org/officeDocument/2006/relationships/image" Target="../media/image1.png"/></Relationships>
</file>

<file path=xl/drawings/_rels/drawing14.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3.pdf" TargetMode="External"/><Relationship Id="rId7" Type="http://schemas.openxmlformats.org/officeDocument/2006/relationships/hyperlink" Target="https://www.klimasken.cz/en/download/metodicky_list-B-AD3.pdf" TargetMode="External"/><Relationship Id="rId2" Type="http://schemas.openxmlformats.org/officeDocument/2006/relationships/hyperlink" Target="#'B-AD4'!A1"/><Relationship Id="rId1" Type="http://schemas.openxmlformats.org/officeDocument/2006/relationships/hyperlink" Target="#'B-AD2'!A1"/><Relationship Id="rId6" Type="http://schemas.openxmlformats.org/officeDocument/2006/relationships/image" Target="../media/image2.png"/><Relationship Id="rId5" Type="http://schemas.openxmlformats.org/officeDocument/2006/relationships/hyperlink" Target="https://www.klimasken.cz/sk/download/metodicky_list-B-AD3.pdf" TargetMode="External"/><Relationship Id="rId4" Type="http://schemas.openxmlformats.org/officeDocument/2006/relationships/image" Target="../media/image1.png"/></Relationships>
</file>

<file path=xl/drawings/_rels/drawing15.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4.pdf" TargetMode="External"/><Relationship Id="rId7" Type="http://schemas.openxmlformats.org/officeDocument/2006/relationships/hyperlink" Target="https://www.klimasken.cz/en/download/metodicky_list-B-AD4.pdf" TargetMode="External"/><Relationship Id="rId2" Type="http://schemas.openxmlformats.org/officeDocument/2006/relationships/hyperlink" Target="#'B-AD5'!A1"/><Relationship Id="rId1" Type="http://schemas.openxmlformats.org/officeDocument/2006/relationships/hyperlink" Target="#'B-AD3'!A1"/><Relationship Id="rId6" Type="http://schemas.openxmlformats.org/officeDocument/2006/relationships/image" Target="../media/image2.png"/><Relationship Id="rId5" Type="http://schemas.openxmlformats.org/officeDocument/2006/relationships/hyperlink" Target="https://www.klimasken.cz/sk/download/metodicky_list-B-AD4.pdf" TargetMode="External"/><Relationship Id="rId4" Type="http://schemas.openxmlformats.org/officeDocument/2006/relationships/image" Target="../media/image1.png"/></Relationships>
</file>

<file path=xl/drawings/_rels/drawing16.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5.pdf" TargetMode="External"/><Relationship Id="rId7" Type="http://schemas.openxmlformats.org/officeDocument/2006/relationships/hyperlink" Target="https://www.klimasken.cz/en/download/metodicky_list-B-AD5.pdf" TargetMode="External"/><Relationship Id="rId2" Type="http://schemas.openxmlformats.org/officeDocument/2006/relationships/hyperlink" Target="#'B-AD6'!A1"/><Relationship Id="rId1" Type="http://schemas.openxmlformats.org/officeDocument/2006/relationships/hyperlink" Target="#'B-AD4'!A1"/><Relationship Id="rId6" Type="http://schemas.openxmlformats.org/officeDocument/2006/relationships/image" Target="../media/image2.png"/><Relationship Id="rId5" Type="http://schemas.openxmlformats.org/officeDocument/2006/relationships/hyperlink" Target="https://www.klimasken.cz/sk/download/metodicky_list-B-AD5.pdf" TargetMode="External"/><Relationship Id="rId4" Type="http://schemas.openxmlformats.org/officeDocument/2006/relationships/image" Target="../media/image1.png"/></Relationships>
</file>

<file path=xl/drawings/_rels/drawing17.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6.pdf" TargetMode="External"/><Relationship Id="rId7" Type="http://schemas.openxmlformats.org/officeDocument/2006/relationships/hyperlink" Target="https://www.klimasken.cz/en/download/metodicky_list-B-AD6.pdf" TargetMode="External"/><Relationship Id="rId2" Type="http://schemas.openxmlformats.org/officeDocument/2006/relationships/hyperlink" Target="#'B-AD7'!A1"/><Relationship Id="rId1" Type="http://schemas.openxmlformats.org/officeDocument/2006/relationships/hyperlink" Target="#'B-AD5'!A1"/><Relationship Id="rId6" Type="http://schemas.openxmlformats.org/officeDocument/2006/relationships/image" Target="../media/image2.png"/><Relationship Id="rId5" Type="http://schemas.openxmlformats.org/officeDocument/2006/relationships/hyperlink" Target="https://www.klimasken.cz/sk/download/metodicky_list-B-AD6.pdf" TargetMode="External"/><Relationship Id="rId4" Type="http://schemas.openxmlformats.org/officeDocument/2006/relationships/image" Target="../media/image1.png"/></Relationships>
</file>

<file path=xl/drawings/_rels/drawing18.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7.pdf" TargetMode="External"/><Relationship Id="rId7" Type="http://schemas.openxmlformats.org/officeDocument/2006/relationships/hyperlink" Target="https://www.klimasken.cz/en/download/metodicky_list-B-AD7.pdf" TargetMode="External"/><Relationship Id="rId2" Type="http://schemas.openxmlformats.org/officeDocument/2006/relationships/hyperlink" Target="#'B-AD8'!A1"/><Relationship Id="rId1" Type="http://schemas.openxmlformats.org/officeDocument/2006/relationships/hyperlink" Target="#'B-AD6'!A1"/><Relationship Id="rId6" Type="http://schemas.openxmlformats.org/officeDocument/2006/relationships/image" Target="../media/image2.png"/><Relationship Id="rId5" Type="http://schemas.openxmlformats.org/officeDocument/2006/relationships/hyperlink" Target="https://www.klimasken.cz/sk/download/metodicky_list-B-AD7.pdf" TargetMode="External"/><Relationship Id="rId4" Type="http://schemas.openxmlformats.org/officeDocument/2006/relationships/image" Target="../media/image1.png"/></Relationships>
</file>

<file path=xl/drawings/_rels/drawing19.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8.pdf" TargetMode="External"/><Relationship Id="rId7" Type="http://schemas.openxmlformats.org/officeDocument/2006/relationships/hyperlink" Target="https://www.klimasken.cz/en/download/metodicky_list-B-AD8.pdf" TargetMode="External"/><Relationship Id="rId2" Type="http://schemas.openxmlformats.org/officeDocument/2006/relationships/hyperlink" Target="#'B-AD9'!A1"/><Relationship Id="rId1" Type="http://schemas.openxmlformats.org/officeDocument/2006/relationships/hyperlink" Target="#'B-AD7'!A1"/><Relationship Id="rId6" Type="http://schemas.openxmlformats.org/officeDocument/2006/relationships/image" Target="../media/image2.png"/><Relationship Id="rId5" Type="http://schemas.openxmlformats.org/officeDocument/2006/relationships/hyperlink" Target="https://www.klimasken.cz/sk/download/metodicky_list-B-AD8.pdf" TargetMode="Externa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1.pdf" TargetMode="External"/><Relationship Id="rId7" Type="http://schemas.openxmlformats.org/officeDocument/2006/relationships/hyperlink" Target="https://www.klimasken.cz/en/download/metodicky_list-B-POP1.pdf" TargetMode="External"/><Relationship Id="rId2" Type="http://schemas.openxmlformats.org/officeDocument/2006/relationships/hyperlink" Target="#'B-POP2'!A1"/><Relationship Id="rId1" Type="http://schemas.openxmlformats.org/officeDocument/2006/relationships/hyperlink" Target="#'Identifikace budovy'!A1"/><Relationship Id="rId6" Type="http://schemas.openxmlformats.org/officeDocument/2006/relationships/image" Target="../media/image2.png"/><Relationship Id="rId5" Type="http://schemas.openxmlformats.org/officeDocument/2006/relationships/hyperlink" Target="https://www.klimasken.cz/sk/download/metodicky_list-B-POP1.pdf" TargetMode="External"/><Relationship Id="rId4" Type="http://schemas.openxmlformats.org/officeDocument/2006/relationships/image" Target="../media/image1.png"/></Relationships>
</file>

<file path=xl/drawings/_rels/drawing2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9.pdf" TargetMode="External"/><Relationship Id="rId7" Type="http://schemas.openxmlformats.org/officeDocument/2006/relationships/hyperlink" Target="https://www.klimasken.cz/en/download/metodicky_list-B-AD9.pdf" TargetMode="External"/><Relationship Id="rId2" Type="http://schemas.openxmlformats.org/officeDocument/2006/relationships/hyperlink" Target="#'B-AD10'!A1"/><Relationship Id="rId1" Type="http://schemas.openxmlformats.org/officeDocument/2006/relationships/hyperlink" Target="#'B-AD8'!A1"/><Relationship Id="rId6" Type="http://schemas.openxmlformats.org/officeDocument/2006/relationships/image" Target="../media/image2.png"/><Relationship Id="rId5" Type="http://schemas.openxmlformats.org/officeDocument/2006/relationships/hyperlink" Target="https://www.klimasken.cz/sk/download/metodicky_list-B-AD9.pdf" TargetMode="External"/><Relationship Id="rId4" Type="http://schemas.openxmlformats.org/officeDocument/2006/relationships/image" Target="../media/image1.png"/></Relationships>
</file>

<file path=xl/drawings/_rels/drawing2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AD10.pdf" TargetMode="External"/><Relationship Id="rId7" Type="http://schemas.openxmlformats.org/officeDocument/2006/relationships/hyperlink" Target="https://www.klimasken.cz/en/download/metodicky_list-B-AD10.pdf" TargetMode="External"/><Relationship Id="rId2" Type="http://schemas.openxmlformats.org/officeDocument/2006/relationships/hyperlink" Target="#'B-GOV1'!A1"/><Relationship Id="rId1" Type="http://schemas.openxmlformats.org/officeDocument/2006/relationships/hyperlink" Target="#'B-AD9'!A1"/><Relationship Id="rId6" Type="http://schemas.openxmlformats.org/officeDocument/2006/relationships/image" Target="../media/image2.png"/><Relationship Id="rId5" Type="http://schemas.openxmlformats.org/officeDocument/2006/relationships/hyperlink" Target="https://www.klimasken.cz/sk/download/metodicky_list-B-AD10.pdf" TargetMode="External"/><Relationship Id="rId4" Type="http://schemas.openxmlformats.org/officeDocument/2006/relationships/image" Target="../media/image1.png"/></Relationships>
</file>

<file path=xl/drawings/_rels/drawing2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GOV1.pdf" TargetMode="External"/><Relationship Id="rId7" Type="http://schemas.openxmlformats.org/officeDocument/2006/relationships/hyperlink" Target="https://www.klimasken.cz/en/download/metodicky_list-B-GOV1.pdf" TargetMode="External"/><Relationship Id="rId2" Type="http://schemas.openxmlformats.org/officeDocument/2006/relationships/hyperlink" Target="#'B-GOV2'!A1"/><Relationship Id="rId1" Type="http://schemas.openxmlformats.org/officeDocument/2006/relationships/hyperlink" Target="#'B-AD10'!A1"/><Relationship Id="rId6" Type="http://schemas.openxmlformats.org/officeDocument/2006/relationships/image" Target="../media/image2.png"/><Relationship Id="rId5" Type="http://schemas.openxmlformats.org/officeDocument/2006/relationships/hyperlink" Target="https://www.klimasken.cz/sk/download/metodicky_list-B-GOV1.pdf" TargetMode="External"/><Relationship Id="rId4" Type="http://schemas.openxmlformats.org/officeDocument/2006/relationships/image" Target="../media/image1.png"/></Relationships>
</file>

<file path=xl/drawings/_rels/drawing2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GOV2.pdf" TargetMode="External"/><Relationship Id="rId7" Type="http://schemas.openxmlformats.org/officeDocument/2006/relationships/hyperlink" Target="https://www.klimasken.cz/en/download/metodicky_list-B-GOV2.pdf" TargetMode="External"/><Relationship Id="rId2" Type="http://schemas.openxmlformats.org/officeDocument/2006/relationships/hyperlink" Target="#'B-GOV3'!A1"/><Relationship Id="rId1" Type="http://schemas.openxmlformats.org/officeDocument/2006/relationships/hyperlink" Target="#'B-GOV1'!A1"/><Relationship Id="rId6" Type="http://schemas.openxmlformats.org/officeDocument/2006/relationships/image" Target="../media/image2.png"/><Relationship Id="rId5" Type="http://schemas.openxmlformats.org/officeDocument/2006/relationships/hyperlink" Target="https://www.klimasken.cz/sk/download/metodicky_list-B-GOV2.pdf" TargetMode="External"/><Relationship Id="rId4" Type="http://schemas.openxmlformats.org/officeDocument/2006/relationships/image" Target="../media/image1.png"/></Relationships>
</file>

<file path=xl/drawings/_rels/drawing24.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GOV3.pdf" TargetMode="External"/><Relationship Id="rId7" Type="http://schemas.openxmlformats.org/officeDocument/2006/relationships/hyperlink" Target="https://www.klimasken.cz/en/download/metodicky_list-B-GOV3.pdf" TargetMode="External"/><Relationship Id="rId2" Type="http://schemas.openxmlformats.org/officeDocument/2006/relationships/hyperlink" Target="#'B-GOV4'!A1"/><Relationship Id="rId1" Type="http://schemas.openxmlformats.org/officeDocument/2006/relationships/hyperlink" Target="#'B-GOV2'!A1"/><Relationship Id="rId6" Type="http://schemas.openxmlformats.org/officeDocument/2006/relationships/image" Target="../media/image2.png"/><Relationship Id="rId5" Type="http://schemas.openxmlformats.org/officeDocument/2006/relationships/hyperlink" Target="https://www.klimasken.cz/sk/download/metodicky_list-B-GOV3.pdf" TargetMode="External"/><Relationship Id="rId4"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www.klimasken.cz/cs/download/metodicky_list-B-GOV4.pdf" TargetMode="External"/><Relationship Id="rId1" Type="http://schemas.openxmlformats.org/officeDocument/2006/relationships/hyperlink" Target="#'Up&#345;esn&#283;n&#237; zem&#283;'!A1"/><Relationship Id="rId6" Type="http://schemas.openxmlformats.org/officeDocument/2006/relationships/hyperlink" Target="https://www.klimasken.cz/en/download/metodicky_list-B-GOV4.pdf" TargetMode="External"/><Relationship Id="rId5" Type="http://schemas.openxmlformats.org/officeDocument/2006/relationships/image" Target="../media/image2.png"/><Relationship Id="rId4" Type="http://schemas.openxmlformats.org/officeDocument/2006/relationships/hyperlink" Target="https://www.klimasken.cz/sk/download/metodicky_list-B-GOV4.pdf" TargetMode="External"/></Relationships>
</file>

<file path=xl/drawings/_rels/drawing26.xml.rels><?xml version="1.0" encoding="UTF-8" standalone="yes"?>
<Relationships xmlns="http://schemas.openxmlformats.org/package/2006/relationships"><Relationship Id="rId2" Type="http://schemas.openxmlformats.org/officeDocument/2006/relationships/hyperlink" Target="#'B-EMI1'!A1"/><Relationship Id="rId1" Type="http://schemas.openxmlformats.org/officeDocument/2006/relationships/hyperlink" Target="#'B-GOV4'!A1"/></Relationships>
</file>

<file path=xl/drawings/_rels/drawing27.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MI1.pdf" TargetMode="External"/><Relationship Id="rId7" Type="http://schemas.openxmlformats.org/officeDocument/2006/relationships/hyperlink" Target="https://www.klimasken.cz/en/download/metodicky_list-B-EMI1.pdf" TargetMode="External"/><Relationship Id="rId2" Type="http://schemas.openxmlformats.org/officeDocument/2006/relationships/hyperlink" Target="#'B-EMI2'!A1"/><Relationship Id="rId1" Type="http://schemas.openxmlformats.org/officeDocument/2006/relationships/hyperlink" Target="#'B-GOV4'!A1"/><Relationship Id="rId6" Type="http://schemas.openxmlformats.org/officeDocument/2006/relationships/image" Target="../media/image2.png"/><Relationship Id="rId5" Type="http://schemas.openxmlformats.org/officeDocument/2006/relationships/hyperlink" Target="https://www.klimasken.cz/sk/download/metodicky_list-B-EMI1.pdf" TargetMode="External"/><Relationship Id="rId4" Type="http://schemas.openxmlformats.org/officeDocument/2006/relationships/image" Target="../media/image1.png"/></Relationships>
</file>

<file path=xl/drawings/_rels/drawing28.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MI2.pdf" TargetMode="External"/><Relationship Id="rId7" Type="http://schemas.openxmlformats.org/officeDocument/2006/relationships/hyperlink" Target="https://www.klimasken.cz/en/download/metodicky_list-B-EMI2.pdf" TargetMode="External"/><Relationship Id="rId2" Type="http://schemas.openxmlformats.org/officeDocument/2006/relationships/hyperlink" Target="#'B-EMI3'!A1"/><Relationship Id="rId1" Type="http://schemas.openxmlformats.org/officeDocument/2006/relationships/hyperlink" Target="#'B-EMI1'!A1"/><Relationship Id="rId6" Type="http://schemas.openxmlformats.org/officeDocument/2006/relationships/image" Target="../media/image2.png"/><Relationship Id="rId5" Type="http://schemas.openxmlformats.org/officeDocument/2006/relationships/hyperlink" Target="https://www.klimasken.cz/sk/download/metodicky_list-B-EMI2.pdf" TargetMode="External"/><Relationship Id="rId4" Type="http://schemas.openxmlformats.org/officeDocument/2006/relationships/image" Target="../media/image1.png"/></Relationships>
</file>

<file path=xl/drawings/_rels/drawing29.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MI3.pdf" TargetMode="External"/><Relationship Id="rId7" Type="http://schemas.openxmlformats.org/officeDocument/2006/relationships/hyperlink" Target="https://www.klimasken.cz/en/download/metodicky_list-B-EMI3.pdf" TargetMode="External"/><Relationship Id="rId2" Type="http://schemas.openxmlformats.org/officeDocument/2006/relationships/hyperlink" Target="#'B-EMI4'!A1"/><Relationship Id="rId1" Type="http://schemas.openxmlformats.org/officeDocument/2006/relationships/hyperlink" Target="#'B-EMI2'!A1"/><Relationship Id="rId6" Type="http://schemas.openxmlformats.org/officeDocument/2006/relationships/image" Target="../media/image2.png"/><Relationship Id="rId5" Type="http://schemas.openxmlformats.org/officeDocument/2006/relationships/hyperlink" Target="https://www.klimasken.cz/sk/download/metodicky_list-B-EMI3.pdf"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2.pdf" TargetMode="External"/><Relationship Id="rId7" Type="http://schemas.openxmlformats.org/officeDocument/2006/relationships/hyperlink" Target="https://www.klimasken.cz/en/download/metodicky_list-B-POP2.pdf" TargetMode="External"/><Relationship Id="rId2" Type="http://schemas.openxmlformats.org/officeDocument/2006/relationships/hyperlink" Target="#'B-POP3'!A1"/><Relationship Id="rId1" Type="http://schemas.openxmlformats.org/officeDocument/2006/relationships/hyperlink" Target="#'B-POP1'!A1"/><Relationship Id="rId6" Type="http://schemas.openxmlformats.org/officeDocument/2006/relationships/image" Target="../media/image2.png"/><Relationship Id="rId5" Type="http://schemas.openxmlformats.org/officeDocument/2006/relationships/hyperlink" Target="https://www.klimasken.cz/sk/download/metodicky_list-B-POP2.pdf" TargetMode="External"/><Relationship Id="rId4" Type="http://schemas.openxmlformats.org/officeDocument/2006/relationships/image" Target="../media/image1.png"/></Relationships>
</file>

<file path=xl/drawings/_rels/drawing3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MI4.pdf" TargetMode="External"/><Relationship Id="rId7" Type="http://schemas.openxmlformats.org/officeDocument/2006/relationships/hyperlink" Target="https://www.klimasken.cz/en/download/metodicky_list-B-EMI4.pdf" TargetMode="External"/><Relationship Id="rId2" Type="http://schemas.openxmlformats.org/officeDocument/2006/relationships/hyperlink" Target="#'B-EMI5'!A1"/><Relationship Id="rId1" Type="http://schemas.openxmlformats.org/officeDocument/2006/relationships/hyperlink" Target="#'B-EMI3'!A1"/><Relationship Id="rId6" Type="http://schemas.openxmlformats.org/officeDocument/2006/relationships/image" Target="../media/image2.png"/><Relationship Id="rId5" Type="http://schemas.openxmlformats.org/officeDocument/2006/relationships/hyperlink" Target="https://www.klimasken.cz/sk/download/metodicky_list-B-EMI4.pdf" TargetMode="External"/><Relationship Id="rId4" Type="http://schemas.openxmlformats.org/officeDocument/2006/relationships/image" Target="../media/image1.png"/></Relationships>
</file>

<file path=xl/drawings/_rels/drawing3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MI5.pdf" TargetMode="External"/><Relationship Id="rId7" Type="http://schemas.openxmlformats.org/officeDocument/2006/relationships/hyperlink" Target="https://www.klimasken.cz/en/download/metodicky_list-B-EMI5.pdf" TargetMode="External"/><Relationship Id="rId2" Type="http://schemas.openxmlformats.org/officeDocument/2006/relationships/hyperlink" Target="#'B-EMI6'!A1"/><Relationship Id="rId1" Type="http://schemas.openxmlformats.org/officeDocument/2006/relationships/hyperlink" Target="#'B-EMI4'!A1"/><Relationship Id="rId6" Type="http://schemas.openxmlformats.org/officeDocument/2006/relationships/image" Target="../media/image2.png"/><Relationship Id="rId5" Type="http://schemas.openxmlformats.org/officeDocument/2006/relationships/hyperlink" Target="https://www.klimasken.cz/sk/download/metodicky_list-B-EMI5.pdf" TargetMode="External"/><Relationship Id="rId4"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www.klimasken.cz/cs/download/metodicky_list-B-EMI6.pdf" TargetMode="External"/><Relationship Id="rId1" Type="http://schemas.openxmlformats.org/officeDocument/2006/relationships/hyperlink" Target="#'B-EMI5'!A1"/><Relationship Id="rId6" Type="http://schemas.openxmlformats.org/officeDocument/2006/relationships/hyperlink" Target="https://www.klimasken.cz/en/download/metodicky_list-B-EMI6.pdf" TargetMode="External"/><Relationship Id="rId5" Type="http://schemas.openxmlformats.org/officeDocument/2006/relationships/image" Target="../media/image2.png"/><Relationship Id="rId4" Type="http://schemas.openxmlformats.org/officeDocument/2006/relationships/hyperlink" Target="https://www.klimasken.cz/sk/download/metodicky_list-B-EMI6.pdf"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3.pdf" TargetMode="External"/><Relationship Id="rId7" Type="http://schemas.openxmlformats.org/officeDocument/2006/relationships/hyperlink" Target="https://www.klimasken.cz/en/download/metodicky_list-B-POP3.pdf" TargetMode="External"/><Relationship Id="rId2" Type="http://schemas.openxmlformats.org/officeDocument/2006/relationships/hyperlink" Target="#'B-POP4'!A1"/><Relationship Id="rId1" Type="http://schemas.openxmlformats.org/officeDocument/2006/relationships/hyperlink" Target="#'B-POP2'!A1"/><Relationship Id="rId6" Type="http://schemas.openxmlformats.org/officeDocument/2006/relationships/image" Target="../media/image2.png"/><Relationship Id="rId5" Type="http://schemas.openxmlformats.org/officeDocument/2006/relationships/hyperlink" Target="https://www.klimasken.cz/sk/download/metodicky_list-B-POP3.pdf" TargetMode="Externa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4&#168;.pdf" TargetMode="External"/><Relationship Id="rId7" Type="http://schemas.openxmlformats.org/officeDocument/2006/relationships/hyperlink" Target="https://www.klimasken.cz/en/download/metodicky_list-B-POP4.pdf" TargetMode="External"/><Relationship Id="rId2" Type="http://schemas.openxmlformats.org/officeDocument/2006/relationships/hyperlink" Target="#'B-POP5'!A1"/><Relationship Id="rId1" Type="http://schemas.openxmlformats.org/officeDocument/2006/relationships/hyperlink" Target="#'B-POP3'!A1"/><Relationship Id="rId6" Type="http://schemas.openxmlformats.org/officeDocument/2006/relationships/image" Target="../media/image2.png"/><Relationship Id="rId5" Type="http://schemas.openxmlformats.org/officeDocument/2006/relationships/hyperlink" Target="https://www.klimasken.cz/sk/download/metodicky_list-B-POP4.pdf" TargetMode="Externa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5.pdf" TargetMode="External"/><Relationship Id="rId7" Type="http://schemas.openxmlformats.org/officeDocument/2006/relationships/hyperlink" Target="https://www.klimasken.cz/en/download/metodicky_list-B-POP5.pdf" TargetMode="External"/><Relationship Id="rId2" Type="http://schemas.openxmlformats.org/officeDocument/2006/relationships/hyperlink" Target="#'B-POP6'!A1"/><Relationship Id="rId1" Type="http://schemas.openxmlformats.org/officeDocument/2006/relationships/hyperlink" Target="#'B-POP4'!A1"/><Relationship Id="rId6" Type="http://schemas.openxmlformats.org/officeDocument/2006/relationships/image" Target="../media/image2.png"/><Relationship Id="rId5" Type="http://schemas.openxmlformats.org/officeDocument/2006/relationships/hyperlink" Target="https://www.klimasken.cz/sk/download/metodicky_list-B-POP5.pdf" TargetMode="External"/><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POP6.pdf" TargetMode="External"/><Relationship Id="rId7" Type="http://schemas.openxmlformats.org/officeDocument/2006/relationships/hyperlink" Target="https://www.klimasken.cz/en/download/metodicky_list-B-POP6.pdf" TargetMode="External"/><Relationship Id="rId2" Type="http://schemas.openxmlformats.org/officeDocument/2006/relationships/hyperlink" Target="#'B-EX1'!A1"/><Relationship Id="rId1" Type="http://schemas.openxmlformats.org/officeDocument/2006/relationships/hyperlink" Target="#'B-POP5'!A1"/><Relationship Id="rId6" Type="http://schemas.openxmlformats.org/officeDocument/2006/relationships/image" Target="../media/image2.png"/><Relationship Id="rId5" Type="http://schemas.openxmlformats.org/officeDocument/2006/relationships/hyperlink" Target="https://www.klimasken.cz/sk/download/metodicky_list-B-POP6.pdf" TargetMode="Externa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X1.pdf" TargetMode="External"/><Relationship Id="rId7" Type="http://schemas.openxmlformats.org/officeDocument/2006/relationships/hyperlink" Target="https://www.klimasken.cz/en/download/metodicky_list-B-EX1.pdf" TargetMode="External"/><Relationship Id="rId2" Type="http://schemas.openxmlformats.org/officeDocument/2006/relationships/hyperlink" Target="#'B-EX2'!A1"/><Relationship Id="rId1" Type="http://schemas.openxmlformats.org/officeDocument/2006/relationships/hyperlink" Target="#'B-POP6'!A1"/><Relationship Id="rId6" Type="http://schemas.openxmlformats.org/officeDocument/2006/relationships/image" Target="../media/image2.png"/><Relationship Id="rId5" Type="http://schemas.openxmlformats.org/officeDocument/2006/relationships/hyperlink" Target="https://www.klimasken.cz/sk/download/metodicky_list-B-EX1.pdf" TargetMode="External"/><Relationship Id="rId4" Type="http://schemas.openxmlformats.org/officeDocument/2006/relationships/image" Target="../media/image1.png"/></Relationships>
</file>

<file path=xl/drawings/_rels/drawing9.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klimasken.cz/cs/download/metodicky_list-B-EX2.pdf" TargetMode="External"/><Relationship Id="rId7" Type="http://schemas.openxmlformats.org/officeDocument/2006/relationships/hyperlink" Target="https://www.klimasken.cz/en/download/metodicky_list-B-EX2.pdf" TargetMode="External"/><Relationship Id="rId2" Type="http://schemas.openxmlformats.org/officeDocument/2006/relationships/hyperlink" Target="#'B-EX3'!A1"/><Relationship Id="rId1" Type="http://schemas.openxmlformats.org/officeDocument/2006/relationships/hyperlink" Target="#'B-EX1'!A1"/><Relationship Id="rId6" Type="http://schemas.openxmlformats.org/officeDocument/2006/relationships/image" Target="../media/image2.png"/><Relationship Id="rId5" Type="http://schemas.openxmlformats.org/officeDocument/2006/relationships/hyperlink" Target="https://www.klimasken.cz/sk/download/metodicky_list-B-EX2.pdf"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752074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0822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752074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0822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1493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67276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797794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5394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1493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67276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5491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0916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5491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0916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7131" y="300789"/>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4" name="Šipka doleva 3">
          <a:hlinkClick xmlns:r="http://schemas.openxmlformats.org/officeDocument/2006/relationships" r:id="rId2"/>
        </xdr:cNvPr>
        <xdr:cNvSpPr/>
      </xdr:nvSpPr>
      <xdr:spPr>
        <a:xfrm rot="10800000">
          <a:off x="7280610" y="307808"/>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2336321</xdr:colOff>
      <xdr:row>1</xdr:row>
      <xdr:rowOff>50816</xdr:rowOff>
    </xdr:from>
    <xdr:to>
      <xdr:col>0</xdr:col>
      <xdr:colOff>2677784</xdr:colOff>
      <xdr:row>1</xdr:row>
      <xdr:rowOff>278743</xdr:rowOff>
    </xdr:to>
    <xdr:pic>
      <xdr:nvPicPr>
        <xdr:cNvPr id="3" name="Obrázek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32039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32475"/>
          <a:ext cx="571629" cy="2370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5491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0916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9282865" y="444667"/>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9844339" y="451686"/>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294413</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303482</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309524</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54919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0916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1</xdr:col>
      <xdr:colOff>2357829</xdr:colOff>
      <xdr:row>1</xdr:row>
      <xdr:rowOff>56961</xdr:rowOff>
    </xdr:from>
    <xdr:to>
      <xdr:col>1</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1</xdr:col>
      <xdr:colOff>2944601</xdr:colOff>
      <xdr:row>1</xdr:row>
      <xdr:rowOff>58190</xdr:rowOff>
    </xdr:from>
    <xdr:to>
      <xdr:col>1</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1</xdr:col>
      <xdr:colOff>3570848</xdr:colOff>
      <xdr:row>1</xdr:row>
      <xdr:rowOff>62900</xdr:rowOff>
    </xdr:from>
    <xdr:to>
      <xdr:col>1</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55896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912043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1</xdr:col>
      <xdr:colOff>2357829</xdr:colOff>
      <xdr:row>1</xdr:row>
      <xdr:rowOff>56961</xdr:rowOff>
    </xdr:from>
    <xdr:to>
      <xdr:col>1</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57854" y="466536"/>
          <a:ext cx="341463" cy="227927"/>
        </a:xfrm>
        <a:prstGeom prst="rect">
          <a:avLst/>
        </a:prstGeom>
      </xdr:spPr>
    </xdr:pic>
    <xdr:clientData/>
  </xdr:twoCellAnchor>
  <xdr:twoCellAnchor editAs="oneCell">
    <xdr:from>
      <xdr:col>1</xdr:col>
      <xdr:colOff>2944601</xdr:colOff>
      <xdr:row>1</xdr:row>
      <xdr:rowOff>58190</xdr:rowOff>
    </xdr:from>
    <xdr:to>
      <xdr:col>1</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144626" y="467765"/>
          <a:ext cx="353208" cy="235767"/>
        </a:xfrm>
        <a:prstGeom prst="rect">
          <a:avLst/>
        </a:prstGeom>
      </xdr:spPr>
    </xdr:pic>
    <xdr:clientData/>
  </xdr:twoCellAnchor>
  <xdr:twoCellAnchor editAs="oneCell">
    <xdr:from>
      <xdr:col>1</xdr:col>
      <xdr:colOff>3570848</xdr:colOff>
      <xdr:row>1</xdr:row>
      <xdr:rowOff>62900</xdr:rowOff>
    </xdr:from>
    <xdr:to>
      <xdr:col>1</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42323" y="472475"/>
          <a:ext cx="571629" cy="2370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549440"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91490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1</xdr:col>
      <xdr:colOff>2357829</xdr:colOff>
      <xdr:row>1</xdr:row>
      <xdr:rowOff>56961</xdr:rowOff>
    </xdr:from>
    <xdr:to>
      <xdr:col>1</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29304" y="466536"/>
          <a:ext cx="341463" cy="227927"/>
        </a:xfrm>
        <a:prstGeom prst="rect">
          <a:avLst/>
        </a:prstGeom>
      </xdr:spPr>
    </xdr:pic>
    <xdr:clientData/>
  </xdr:twoCellAnchor>
  <xdr:twoCellAnchor editAs="oneCell">
    <xdr:from>
      <xdr:col>1</xdr:col>
      <xdr:colOff>2944601</xdr:colOff>
      <xdr:row>1</xdr:row>
      <xdr:rowOff>58190</xdr:rowOff>
    </xdr:from>
    <xdr:to>
      <xdr:col>1</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16076" y="467765"/>
          <a:ext cx="353208" cy="235767"/>
        </a:xfrm>
        <a:prstGeom prst="rect">
          <a:avLst/>
        </a:prstGeom>
      </xdr:spPr>
    </xdr:pic>
    <xdr:clientData/>
  </xdr:twoCellAnchor>
  <xdr:twoCellAnchor editAs="oneCell">
    <xdr:from>
      <xdr:col>1</xdr:col>
      <xdr:colOff>3570848</xdr:colOff>
      <xdr:row>1</xdr:row>
      <xdr:rowOff>62900</xdr:rowOff>
    </xdr:from>
    <xdr:to>
      <xdr:col>1</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42323" y="472475"/>
          <a:ext cx="571629" cy="2370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xdr:cNvSpPr/>
      </xdr:nvSpPr>
      <xdr:spPr>
        <a:xfrm>
          <a:off x="63682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1"/>
        </xdr:cNvPr>
        <xdr:cNvSpPr/>
      </xdr:nvSpPr>
      <xdr:spPr>
        <a:xfrm rot="10800000">
          <a:off x="6939214"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119815</xdr:colOff>
      <xdr:row>1</xdr:row>
      <xdr:rowOff>35092</xdr:rowOff>
    </xdr:from>
    <xdr:to>
      <xdr:col>5</xdr:col>
      <xdr:colOff>519865</xdr:colOff>
      <xdr:row>1</xdr:row>
      <xdr:rowOff>151397</xdr:rowOff>
    </xdr:to>
    <xdr:sp macro="" textlink="">
      <xdr:nvSpPr>
        <xdr:cNvPr id="2" name="Šipka doleva 1">
          <a:hlinkClick xmlns:r="http://schemas.openxmlformats.org/officeDocument/2006/relationships" r:id="rId1"/>
        </xdr:cNvPr>
        <xdr:cNvSpPr/>
      </xdr:nvSpPr>
      <xdr:spPr>
        <a:xfrm>
          <a:off x="59110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6</xdr:col>
      <xdr:colOff>71689</xdr:colOff>
      <xdr:row>1</xdr:row>
      <xdr:rowOff>42111</xdr:rowOff>
    </xdr:from>
    <xdr:to>
      <xdr:col>6</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64724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796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6653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796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1891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2014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796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1891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2014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2336321</xdr:colOff>
      <xdr:row>1</xdr:row>
      <xdr:rowOff>50816</xdr:rowOff>
    </xdr:from>
    <xdr:to>
      <xdr:col>0</xdr:col>
      <xdr:colOff>2677784</xdr:colOff>
      <xdr:row>1</xdr:row>
      <xdr:rowOff>278743</xdr:rowOff>
    </xdr:to>
    <xdr:pic>
      <xdr:nvPicPr>
        <xdr:cNvPr id="10" name="Obrázek 9">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31751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11" name="Obrázek 10">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12" name="Obrázek 11">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796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1891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2014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8796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41891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42014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8235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3" name="Obráze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57829" y="41891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4" name="Obrázek 3">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44601" y="42014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5" name="Obrázek 4">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70848" y="424850"/>
          <a:ext cx="571629" cy="23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4276"/>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366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366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366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366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119815</xdr:colOff>
      <xdr:row>1</xdr:row>
      <xdr:rowOff>35092</xdr:rowOff>
    </xdr:from>
    <xdr:to>
      <xdr:col>4</xdr:col>
      <xdr:colOff>519865</xdr:colOff>
      <xdr:row>1</xdr:row>
      <xdr:rowOff>151397</xdr:rowOff>
    </xdr:to>
    <xdr:sp macro="" textlink="">
      <xdr:nvSpPr>
        <xdr:cNvPr id="2" name="Šipka doleva 1">
          <a:hlinkClick xmlns:r="http://schemas.openxmlformats.org/officeDocument/2006/relationships" r:id="rId1"/>
        </xdr:cNvPr>
        <xdr:cNvSpPr/>
      </xdr:nvSpPr>
      <xdr:spPr>
        <a:xfrm>
          <a:off x="6711115" y="301792"/>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2"/>
        </xdr:cNvPr>
        <xdr:cNvSpPr/>
      </xdr:nvSpPr>
      <xdr:spPr>
        <a:xfrm rot="10800000">
          <a:off x="727258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2357829</xdr:colOff>
      <xdr:row>1</xdr:row>
      <xdr:rowOff>56961</xdr:rowOff>
    </xdr:from>
    <xdr:to>
      <xdr:col>0</xdr:col>
      <xdr:colOff>2699292</xdr:colOff>
      <xdr:row>1</xdr:row>
      <xdr:rowOff>284888</xdr:rowOff>
    </xdr:to>
    <xdr:pic>
      <xdr:nvPicPr>
        <xdr:cNvPr id="4" name="Obrázek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57829" y="32366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293957</xdr:rowOff>
    </xdr:to>
    <xdr:pic>
      <xdr:nvPicPr>
        <xdr:cNvPr id="5" name="Obrázek 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299999</xdr:rowOff>
    </xdr:to>
    <xdr:pic>
      <xdr:nvPicPr>
        <xdr:cNvPr id="6" name="Obrázek 5">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7099"/>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issuu.com/e-weber/docs/vzorkovnik_weber.color_line/9" TargetMode="Externa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3.bin"/><Relationship Id="rId1" Type="http://schemas.openxmlformats.org/officeDocument/2006/relationships/hyperlink" Target="https://voda.tzb-info.cz/tabulky-a-vypocty/105-posouzeni-moznosti-vyuziti-srazkove-vody" TargetMode="Externa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klimasken.cz/cs/download/metodicky_list-B-GOV3.pdf" TargetMode="Externa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tabSelected="1" zoomScaleNormal="100" workbookViewId="0">
      <selection activeCell="C13" sqref="C13"/>
    </sheetView>
  </sheetViews>
  <sheetFormatPr defaultRowHeight="15" x14ac:dyDescent="0.25"/>
  <cols>
    <col min="1" max="1" width="19.5703125" customWidth="1"/>
    <col min="2" max="2" width="69.85546875" style="94" customWidth="1"/>
    <col min="3" max="3" width="43.28515625" bestFit="1" customWidth="1"/>
    <col min="4" max="4" width="21.28515625" customWidth="1"/>
    <col min="5" max="5" width="24.42578125" bestFit="1" customWidth="1"/>
    <col min="7" max="8" width="9.140625" customWidth="1"/>
    <col min="9" max="11" width="9.140625" hidden="1" customWidth="1"/>
    <col min="12" max="22" width="9.140625" customWidth="1"/>
  </cols>
  <sheetData>
    <row r="1" spans="1:11" ht="24" thickBot="1" x14ac:dyDescent="0.35">
      <c r="A1" s="137" t="str">
        <f>VLOOKUP(33,Lang!A1:D2628,Lang!L1+1,FALSE)</f>
        <v>Klimasken pro budovy</v>
      </c>
      <c r="D1" s="192" t="s">
        <v>299</v>
      </c>
      <c r="E1" s="293" t="s">
        <v>302</v>
      </c>
      <c r="J1" t="s">
        <v>302</v>
      </c>
      <c r="K1">
        <v>1</v>
      </c>
    </row>
    <row r="2" spans="1:11" x14ac:dyDescent="0.25">
      <c r="J2" t="s">
        <v>300</v>
      </c>
      <c r="K2">
        <v>2</v>
      </c>
    </row>
    <row r="3" spans="1:11" s="146" customFormat="1" ht="45" customHeight="1" x14ac:dyDescent="0.25">
      <c r="A3" s="144" t="str">
        <f>VLOOKUP(34,Lang!A1:D2628,Lang!L1+1,FALSE)</f>
        <v>Označení budovy:</v>
      </c>
      <c r="B3" s="145" t="str">
        <f>IF('Identifikace budovy'!B4="",VLOOKUP(31,Lang!A1:D2628,Lang!L1+1,FALSE),'Identifikace budovy'!B4)</f>
        <v>nezadáno</v>
      </c>
      <c r="D3" s="294" t="str">
        <f>VLOOKUP(126,Lang!A1:D2628,Lang!L1+1,FALSE)</f>
        <v>Výběr jazyka pomocné tabulky je třeba provést  před zahájením jejího vyplňování. Změna jazykové mutace u vyplněné tabulky může mít vliv na výsledky.</v>
      </c>
      <c r="E3" s="294"/>
      <c r="J3" s="94" t="s">
        <v>301</v>
      </c>
      <c r="K3" s="146">
        <v>3</v>
      </c>
    </row>
    <row r="4" spans="1:11" s="148" customFormat="1" x14ac:dyDescent="0.25">
      <c r="A4" s="147" t="str">
        <f>VLOOKUP(35,Lang!A1:D2628,Lang!L1+1,FALSE)</f>
        <v>Adresa:</v>
      </c>
      <c r="B4" s="145" t="str">
        <f>IF('Identifikace budovy'!B5="",VLOOKUP(31,Lang!A1:D2628,Lang!L1+1,FALSE),'Identifikace budovy'!B5)</f>
        <v>nezadáno</v>
      </c>
      <c r="D4" s="294"/>
      <c r="E4" s="294"/>
      <c r="J4" s="281"/>
    </row>
    <row r="5" spans="1:11" s="148" customFormat="1" x14ac:dyDescent="0.25">
      <c r="A5" s="147" t="str">
        <f>VLOOKUP(99,Lang!A2:D2629,Lang!L1+1,FALSE)</f>
        <v>Obec</v>
      </c>
      <c r="B5" s="145" t="str">
        <f>IF('Identifikace budovy'!B6="",VLOOKUP(31,Lang!A2:D2629,Lang!L1+1,FALSE),'Identifikace budovy'!B6)</f>
        <v>nezadáno</v>
      </c>
      <c r="D5" s="294"/>
      <c r="E5" s="294"/>
    </row>
    <row r="6" spans="1:11" s="146" customFormat="1" x14ac:dyDescent="0.25">
      <c r="A6" s="290" t="str">
        <f>VLOOKUP(350,Lang!A$1:D$2630,Lang!L1+1,FALSE)</f>
        <v>Účel budovy</v>
      </c>
      <c r="B6" s="289" t="str">
        <f>IF('Identifikace budovy'!B7="",VLOOKUP(31,Lang!A2:D2629,Lang!L1+1,FALSE),'Identifikace budovy'!B7)</f>
        <v>nezadáno</v>
      </c>
    </row>
    <row r="7" spans="1:11" s="146" customFormat="1" x14ac:dyDescent="0.25">
      <c r="A7" s="290" t="str">
        <f>VLOOKUP(354,Lang!A$1:D$2630,Lang!L1+1,FALSE)</f>
        <v>Rok hodnocení</v>
      </c>
      <c r="B7" s="289" t="str">
        <f>IF('Identifikace budovy'!B8="",VLOOKUP(31,Lang!A3:D2630,Lang!L1+1,FALSE),'Identifikace budovy'!B8)</f>
        <v>nezadáno</v>
      </c>
    </row>
    <row r="8" spans="1:11" s="146" customFormat="1" x14ac:dyDescent="0.25"/>
    <row r="9" spans="1:11" s="193" customFormat="1" ht="30" x14ac:dyDescent="0.25">
      <c r="A9" s="138" t="str">
        <f>VLOOKUP(32,Lang!A1:D2628,Lang!L1+1,FALSE)</f>
        <v>Kód (odkaz na list)</v>
      </c>
      <c r="B9" s="138" t="str">
        <f>VLOOKUP(36,Lang!A1:D2628,Lang!L1+1,FALSE)</f>
        <v>Indikátor</v>
      </c>
      <c r="C9" s="138" t="str">
        <f>VLOOKUP(37,Lang!A1:D2628,Lang!L1+1,FALSE)</f>
        <v>Zadaná/vypočítaná hodnota</v>
      </c>
      <c r="D9" s="271" t="str">
        <f>VLOOKUP(268,Lang!A1:D2628,Lang!L1+1,FALSE)</f>
        <v>Hodnota pro vložení do Klimaskenu</v>
      </c>
      <c r="E9" s="138" t="str">
        <f>VLOOKUP(39,Lang!A1:D2628,Lang!L1+1,FALSE)</f>
        <v>Možná neúplnost dat (!)</v>
      </c>
    </row>
    <row r="10" spans="1:11" s="196" customFormat="1" ht="15" customHeight="1" x14ac:dyDescent="0.25">
      <c r="A10" s="194" t="s">
        <v>77</v>
      </c>
      <c r="B10" s="142" t="str">
        <f>VLOOKUP(J10,Lang!$A$1:D$2628,Lang!$L$1+1,FALSE)</f>
        <v>Rok výstavby</v>
      </c>
      <c r="C10" s="195" t="str">
        <f>IF('B-POP1'!B4="",VLOOKUP(31,Lang!A1:D2628,Lang!L1+1,FALSE),'B-POP1'!B4)</f>
        <v>nezadáno</v>
      </c>
      <c r="D10" s="272" t="str">
        <f>+'B-POP1'!B8</f>
        <v/>
      </c>
      <c r="E10" s="195"/>
      <c r="G10" s="180"/>
      <c r="J10" s="196">
        <v>1</v>
      </c>
    </row>
    <row r="11" spans="1:11" s="151" customFormat="1" ht="45" customHeight="1" x14ac:dyDescent="0.25">
      <c r="A11" s="149" t="s">
        <v>78</v>
      </c>
      <c r="B11" s="142" t="str">
        <f>VLOOKUP(J11,Lang!$A$1:D$2628,Lang!$L$1+1,FALSE)</f>
        <v xml:space="preserve">Rok významné obnovy budovy                                                                                                                                                  </v>
      </c>
      <c r="C11" s="150" t="str">
        <f>IF('B-POP2'!B4="",VLOOKUP(31,Lang!A1:D2628,Lang!L1+1,FALSE),'B-POP2'!B4)</f>
        <v>nezadáno</v>
      </c>
      <c r="D11" s="273" t="str">
        <f>+'B-POP2'!B8</f>
        <v/>
      </c>
      <c r="E11" s="150"/>
      <c r="J11" s="151">
        <v>2</v>
      </c>
    </row>
    <row r="12" spans="1:11" s="196" customFormat="1" ht="15" customHeight="1" x14ac:dyDescent="0.25">
      <c r="A12" s="149" t="s">
        <v>79</v>
      </c>
      <c r="B12" s="142" t="str">
        <f>VLOOKUP(J12,Lang!$A$1:D$2628,Lang!$L$1+1,FALSE)</f>
        <v>Počet podlaží</v>
      </c>
      <c r="C12" s="195" t="str">
        <f>IF('B-POP3'!B4="",VLOOKUP(31,Lang!A1:D2628,Lang!L1+1,FALSE),'B-POP3'!B4)</f>
        <v>nezadáno</v>
      </c>
      <c r="D12" s="272" t="str">
        <f>+'B-POP3'!B8</f>
        <v/>
      </c>
      <c r="E12" s="195"/>
      <c r="J12" s="196">
        <v>3</v>
      </c>
    </row>
    <row r="13" spans="1:11" s="196" customFormat="1" ht="15" customHeight="1" x14ac:dyDescent="0.25">
      <c r="A13" s="149" t="s">
        <v>80</v>
      </c>
      <c r="B13" s="142" t="str">
        <f>VLOOKUP(J13,Lang!$A$1:D$2628,Lang!$L$1+1,FALSE)</f>
        <v>Počet obyvatel</v>
      </c>
      <c r="C13" s="195" t="str">
        <f>IF('B-POP4'!B4="",VLOOKUP(31,Lang!A1:D2628,Lang!L1+1,FALSE),'B-POP4'!B4)</f>
        <v>nezadáno</v>
      </c>
      <c r="D13" s="272" t="str">
        <f>IF(ISNUMBER(+'B-POP4'!B8),+'B-POP4'!B8,"---")</f>
        <v>---</v>
      </c>
      <c r="E13" s="195"/>
      <c r="J13" s="180">
        <v>4</v>
      </c>
    </row>
    <row r="14" spans="1:11" s="196" customFormat="1" ht="15" customHeight="1" x14ac:dyDescent="0.25">
      <c r="A14" s="149" t="s">
        <v>81</v>
      </c>
      <c r="B14" s="142" t="str">
        <f>VLOOKUP(J14,Lang!$A$1:D$2628,Lang!$L$1+1,FALSE)</f>
        <v xml:space="preserve">Zastavěná plocha </v>
      </c>
      <c r="C14" s="195" t="str">
        <f>IF('B-POP5'!B4="",VLOOKUP(31,Lang!A1:D2628,Lang!L1+1,FALSE),'B-POP5'!B4)</f>
        <v>nezadáno</v>
      </c>
      <c r="D14" s="272" t="str">
        <f>+'B-POP5'!B8</f>
        <v/>
      </c>
      <c r="E14" s="195"/>
      <c r="J14" s="180">
        <v>5</v>
      </c>
    </row>
    <row r="15" spans="1:11" s="196" customFormat="1" ht="15" customHeight="1" x14ac:dyDescent="0.25">
      <c r="A15" s="149" t="s">
        <v>82</v>
      </c>
      <c r="B15" s="142" t="str">
        <f>VLOOKUP(J15,Lang!$A$1:D$2628,Lang!$L$1+1,FALSE)</f>
        <v>Obytná plocha (bytů)</v>
      </c>
      <c r="C15" s="195" t="str">
        <f>IF('B-POP6'!B4="",VLOOKUP(31,Lang!A1:D2628,Lang!L1+1,FALSE),'B-POP6'!B4)</f>
        <v>nezadáno</v>
      </c>
      <c r="D15" s="272" t="str">
        <f>+'B-POP6'!B8</f>
        <v/>
      </c>
      <c r="E15" s="195"/>
      <c r="J15" s="180">
        <v>6</v>
      </c>
    </row>
    <row r="16" spans="1:11" s="196" customFormat="1" ht="15" customHeight="1" x14ac:dyDescent="0.25">
      <c r="A16" s="149" t="s">
        <v>83</v>
      </c>
      <c r="B16" s="142" t="str">
        <f>VLOOKUP(J16,Lang!$A$1:D$2628,Lang!$L$1+1,FALSE)</f>
        <v>Povodňové riziko</v>
      </c>
      <c r="C16" s="195" t="str">
        <f>IF('B-EX1'!A4="",VLOOKUP(31,Lang!A1:D2628,Lang!L1+1,FALSE),'B-EX1'!A4)</f>
        <v>nezadáno</v>
      </c>
      <c r="D16" s="274" t="str">
        <f>+'B-EX1'!B10</f>
        <v/>
      </c>
      <c r="E16" s="195"/>
      <c r="J16" s="180">
        <v>7</v>
      </c>
    </row>
    <row r="17" spans="1:10" s="151" customFormat="1" x14ac:dyDescent="0.25">
      <c r="A17" s="149" t="s">
        <v>84</v>
      </c>
      <c r="B17" s="142" t="str">
        <f>VLOOKUP(J17,Lang!$A$1:D$2628,Lang!$L$1+1,FALSE)</f>
        <v>Ohrožení technické infrastruktury záplavami</v>
      </c>
      <c r="C17" s="150" t="str">
        <f>IF('B-EX2'!B19=VLOOKUP(41,Lang!A1:D2628,Lang!L1+1,FALSE),VLOOKUP(40,Lang!A1:D2628,Lang!L1+1,FALSE),'B-EX2'!B19)</f>
        <v>nezadáno/nekompletní</v>
      </c>
      <c r="D17" s="273" t="str">
        <f>+'B-EX2'!B22</f>
        <v/>
      </c>
      <c r="E17" s="150"/>
      <c r="J17" s="151">
        <v>8</v>
      </c>
    </row>
    <row r="18" spans="1:10" s="151" customFormat="1" ht="45" customHeight="1" x14ac:dyDescent="0.25">
      <c r="A18" s="149" t="s">
        <v>85</v>
      </c>
      <c r="B18" s="142" t="str">
        <f>VLOOKUP(J18,Lang!$A$1:D$2628,Lang!$L$1+1,FALSE)</f>
        <v>Ohrožení stavby extrémními meteorologickými jevy</v>
      </c>
      <c r="C18" s="150" t="str">
        <f>IF('B-EX2'!B19="neúplné vstupy/neúplné vstupy/incomplete inputs","nezadáno/nekompletní/nezadané/nekompletné/not entered/incomplete",'B-EX2'!B19)</f>
        <v>neúplné vstupy</v>
      </c>
      <c r="D18" s="273" t="str">
        <f>+'B-EX3'!B18</f>
        <v/>
      </c>
      <c r="E18" s="150"/>
      <c r="J18" s="151">
        <v>9</v>
      </c>
    </row>
    <row r="19" spans="1:10" s="151" customFormat="1" ht="36.75" customHeight="1" x14ac:dyDescent="0.25">
      <c r="A19" s="149" t="s">
        <v>86</v>
      </c>
      <c r="B19" s="142" t="str">
        <f>VLOOKUP(J19,Lang!$A$1:D$2628,Lang!$L$1+1,FALSE)</f>
        <v>Rozdíl průměrné roční teploty vzduchu ve sledovaném roce oproti dlouhodobému průměru</v>
      </c>
      <c r="C19" s="150" t="str">
        <f>IF('B-EX4'!B5="",VLOOKUP(31,Lang!A1:D2628,Lang!L1+1,FALSE),'B-EX4'!B5)</f>
        <v>nezadáno</v>
      </c>
      <c r="D19" s="273" t="str">
        <f>+'B-EX4'!B11</f>
        <v/>
      </c>
      <c r="E19" s="150"/>
      <c r="J19" s="151">
        <v>10</v>
      </c>
    </row>
    <row r="20" spans="1:10" s="151" customFormat="1" ht="45" customHeight="1" x14ac:dyDescent="0.25">
      <c r="A20" s="149" t="s">
        <v>87</v>
      </c>
      <c r="B20" s="142" t="str">
        <f>VLOOKUP(J20,Lang!$A$1:D$2628,Lang!$L$1+1,FALSE)</f>
        <v>Tepelná ochrana obvodových stěn - převažující tlouštka tepelně izolačního materiálu stěn (mm)</v>
      </c>
      <c r="C20" s="150" t="str">
        <f>IF('B-AD1'!B5="",VLOOKUP(31,Lang!A1:D2628,Lang!L1+1,FALSE),'B-AD1'!B5)</f>
        <v>nezadáno</v>
      </c>
      <c r="D20" s="273" t="str">
        <f>+'B-AD1'!B11</f>
        <v/>
      </c>
      <c r="E20" s="150"/>
      <c r="J20" s="151">
        <v>11</v>
      </c>
    </row>
    <row r="21" spans="1:10" s="196" customFormat="1" ht="15" customHeight="1" x14ac:dyDescent="0.25">
      <c r="A21" s="149" t="s">
        <v>88</v>
      </c>
      <c r="B21" s="142" t="str">
        <f>VLOOKUP(J21,Lang!$A$1:D$2628,Lang!$L$1+1,FALSE)</f>
        <v>Tepelná ochrana střechy</v>
      </c>
      <c r="C21" s="195" t="str">
        <f>IF('B-AD2'!B5="",VLOOKUP(31,Lang!A1:D2628,Lang!L1+1,FALSE),'B-AD2'!B5)</f>
        <v>nezadáno</v>
      </c>
      <c r="D21" s="272" t="str">
        <f>+'B-AD2'!B11</f>
        <v/>
      </c>
      <c r="E21" s="195"/>
      <c r="J21" s="171">
        <v>12</v>
      </c>
    </row>
    <row r="22" spans="1:10" s="196" customFormat="1" ht="15" customHeight="1" x14ac:dyDescent="0.25">
      <c r="A22" s="149" t="s">
        <v>89</v>
      </c>
      <c r="B22" s="142" t="str">
        <f>VLOOKUP(J22,Lang!$A$1:D$2628,Lang!$L$1+1,FALSE)</f>
        <v>Transparentní konstrukce</v>
      </c>
      <c r="C22" s="195" t="str">
        <f>IF('B-AD3'!B14=VLOOKUP(41,Lang!A1:D2628,Lang!L1+1,FALSE),VLOOKUP(40,Lang!A1:D2628,Lang!L1+1,FALSE),'B-AD3'!C14)</f>
        <v>nezadáno/nekompletní</v>
      </c>
      <c r="D22" s="275" t="str">
        <f>+'B-AD3'!B17</f>
        <v/>
      </c>
      <c r="E22" s="195"/>
      <c r="J22" s="171">
        <v>13</v>
      </c>
    </row>
    <row r="23" spans="1:10" s="151" customFormat="1" ht="45" customHeight="1" x14ac:dyDescent="0.25">
      <c r="A23" s="149" t="s">
        <v>90</v>
      </c>
      <c r="B23" s="142" t="str">
        <f>VLOOKUP(J23,Lang!$A$1:D$2628,Lang!$L$1+1,FALSE)</f>
        <v>Stínící konstrukce a stínění konstrukcemi</v>
      </c>
      <c r="C23" s="150" t="str">
        <f>IF('B-AD4'!B14=VLOOKUP(41,Lang!A1:D2628,Lang!L1+1,FALSE),VLOOKUP(41,Lang!A1:D2628,Lang!L1+1,FALSE),'B-AD4'!C14)</f>
        <v>chybné/neúplné vstupy</v>
      </c>
      <c r="D23" s="276" t="str">
        <f>+'B-AD4'!B17</f>
        <v/>
      </c>
      <c r="E23" s="140" t="str">
        <f>IF('B-AD4'!D12&lt;&gt;"","(!)","")</f>
        <v/>
      </c>
      <c r="J23" s="151">
        <v>14</v>
      </c>
    </row>
    <row r="24" spans="1:10" s="151" customFormat="1" ht="15" customHeight="1" x14ac:dyDescent="0.25">
      <c r="A24" s="149" t="s">
        <v>91</v>
      </c>
      <c r="B24" s="142" t="str">
        <f>VLOOKUP(J24,Lang!$A$1:D$2628,Lang!$L$1+1,FALSE)</f>
        <v>Stínění konstrukcemi a zelení</v>
      </c>
      <c r="C24" s="150" t="str">
        <f>IF('B-AD5'!B5="",VLOOKUP(31,Lang!A1:D2628,Lang!L1+1,FALSE),'B-AD5'!B5)</f>
        <v>nezadáno</v>
      </c>
      <c r="D24" s="277" t="str">
        <f>+'B-AD5'!B11</f>
        <v/>
      </c>
      <c r="E24" s="150"/>
      <c r="J24" s="151">
        <v>15</v>
      </c>
    </row>
    <row r="25" spans="1:10" s="196" customFormat="1" ht="15" customHeight="1" x14ac:dyDescent="0.25">
      <c r="A25" s="149" t="s">
        <v>92</v>
      </c>
      <c r="B25" s="142" t="str">
        <f>VLOOKUP(J25,Lang!$A$1:D$2628,Lang!$L$1+1,FALSE)</f>
        <v>Vegetační a štěrkové střechy</v>
      </c>
      <c r="C25" s="195" t="str">
        <f>IF('B-AD6'!B10=VLOOKUP(41,Lang!A1:D2628,Lang!L1+1,FALSE),VLOOKUP(31,Lang!A1:D2628,Lang!L1+1,FALSE),'B-AD6'!C10)</f>
        <v>chybné/neúplné vstupy</v>
      </c>
      <c r="D25" s="274" t="str">
        <f>+'B-AD6'!B13</f>
        <v/>
      </c>
      <c r="E25" s="195"/>
      <c r="J25" s="171">
        <v>16</v>
      </c>
    </row>
    <row r="26" spans="1:10" s="196" customFormat="1" ht="15" customHeight="1" x14ac:dyDescent="0.25">
      <c r="A26" s="149" t="s">
        <v>93</v>
      </c>
      <c r="B26" s="142" t="str">
        <f>VLOOKUP(J26,Lang!$A$1:D$2628,Lang!$L$1+1,FALSE)</f>
        <v>Barevné provedení</v>
      </c>
      <c r="C26" s="195" t="str">
        <f>IF('B-AD7'!B7="neúplné vstupy/neúplné vstupy/incomplete inputs",VLOOKUP(31,Lang!A1:D2628,Lang!L1+1,FALSE),'B-AD7'!C7)</f>
        <v>---</v>
      </c>
      <c r="D26" s="274" t="str">
        <f>+'B-AD7'!B10</f>
        <v/>
      </c>
      <c r="E26" s="195"/>
      <c r="J26" s="171">
        <v>17</v>
      </c>
    </row>
    <row r="27" spans="1:10" s="151" customFormat="1" ht="45" customHeight="1" x14ac:dyDescent="0.25">
      <c r="A27" s="149" t="s">
        <v>94</v>
      </c>
      <c r="B27" s="142" t="str">
        <f>VLOOKUP(J27,Lang!$A$1:D$2628,Lang!$L$1+1,FALSE)</f>
        <v>Chladící zařízení - vyberte způsob chlazení domu</v>
      </c>
      <c r="C27" s="150" t="str">
        <f>IF('B-AD8'!A4="",VLOOKUP(31,Lang!A1:D2628,Lang!L1+1,FALSE),'B-AD8'!C7)</f>
        <v>nezadáno</v>
      </c>
      <c r="D27" s="278" t="str">
        <f>+'B-AD8'!B10</f>
        <v/>
      </c>
      <c r="E27" s="150"/>
      <c r="J27" s="151">
        <v>18</v>
      </c>
    </row>
    <row r="28" spans="1:10" s="196" customFormat="1" ht="15" customHeight="1" x14ac:dyDescent="0.25">
      <c r="A28" s="149" t="s">
        <v>95</v>
      </c>
      <c r="B28" s="142" t="str">
        <f>VLOOKUP(J28,Lang!$A$1:D$2628,Lang!$L$1+1,FALSE)</f>
        <v>Větrací zařízení</v>
      </c>
      <c r="C28" s="195" t="str">
        <f>IF('B-AD9'!A4="",VLOOKUP(31,Lang!A1:D2628,Lang!L1+1,FALSE),'B-AD9'!C7)</f>
        <v>nezadáno</v>
      </c>
      <c r="D28" s="274" t="str">
        <f>+'B-AD9'!B10</f>
        <v/>
      </c>
      <c r="E28" s="195"/>
      <c r="J28" s="171">
        <v>19</v>
      </c>
    </row>
    <row r="29" spans="1:10" s="151" customFormat="1" ht="45" customHeight="1" x14ac:dyDescent="0.25">
      <c r="A29" s="149" t="s">
        <v>96</v>
      </c>
      <c r="B29" s="142" t="str">
        <f>VLOOKUP(J29,Lang!$A$1:D$2628,Lang!$L$1+1,FALSE)</f>
        <v>Kapacita budovy pro akumulaci dešťové vody</v>
      </c>
      <c r="C29" s="152"/>
      <c r="D29" s="277" t="str">
        <f>+'B-AD10'!B11</f>
        <v/>
      </c>
      <c r="E29" s="150"/>
      <c r="J29" s="151">
        <v>20</v>
      </c>
    </row>
    <row r="30" spans="1:10" s="151" customFormat="1" ht="45" customHeight="1" x14ac:dyDescent="0.25">
      <c r="A30" s="149" t="s">
        <v>97</v>
      </c>
      <c r="B30" s="142" t="str">
        <f>VLOOKUP(J30,Lang!$A$1:D$2628,Lang!$L$1+1,FALSE)</f>
        <v>Technické zabezpečení budovy před záplavami a přívalovými srážkami</v>
      </c>
      <c r="C30" s="150">
        <f>'B-GOV1'!D24</f>
        <v>0</v>
      </c>
      <c r="D30" s="278" t="str">
        <f>+'B-GOV1'!C27</f>
        <v/>
      </c>
      <c r="E30" s="140" t="str">
        <f>IF('B-GOV1'!B22&lt;&gt;"","(!)","")</f>
        <v>(!)</v>
      </c>
      <c r="J30" s="151">
        <v>21</v>
      </c>
    </row>
    <row r="31" spans="1:10" s="151" customFormat="1" ht="45" customHeight="1" x14ac:dyDescent="0.25">
      <c r="A31" s="149" t="s">
        <v>98</v>
      </c>
      <c r="B31" s="142" t="str">
        <f>VLOOKUP(J31,Lang!$A$1:D$2628,Lang!$L$1+1,FALSE)</f>
        <v>Zadržování srážkové vody v okolí budovy</v>
      </c>
      <c r="C31" s="150" t="str">
        <f>IF('B-GOV2'!C26="neúplné vstupy/neúplné vstupy/incomplete inputs","nezadáno/nezadané/not entered",'B-GOV2'!D26)</f>
        <v>neúplné vstupy</v>
      </c>
      <c r="D31" s="279" t="str">
        <f>+'B-GOV2'!C30</f>
        <v/>
      </c>
      <c r="E31" s="150"/>
      <c r="J31" s="151">
        <v>22</v>
      </c>
    </row>
    <row r="32" spans="1:10" s="151" customFormat="1" ht="45" customHeight="1" x14ac:dyDescent="0.25">
      <c r="A32" s="149" t="s">
        <v>99</v>
      </c>
      <c r="B32" s="142" t="str">
        <f>VLOOKUP(J32,Lang!$A$1:D$2628,Lang!$L$1+1,FALSE)</f>
        <v>Zachytávání srážkové vody na budově</v>
      </c>
      <c r="C32" s="150" t="str">
        <f>IF('B-GOV3'!C17="neúplné vstupy/neúplné vstupy/incomplete inputs","nezadáno/nezadané/not entered",'B-GOV3'!D17)</f>
        <v>neúplné vstupy</v>
      </c>
      <c r="D32" s="278" t="str">
        <f>+'B-GOV3'!C20</f>
        <v/>
      </c>
      <c r="E32" s="150"/>
      <c r="J32" s="151">
        <v>23</v>
      </c>
    </row>
    <row r="33" spans="1:10" s="151" customFormat="1" ht="45" customHeight="1" x14ac:dyDescent="0.25">
      <c r="A33" s="149" t="s">
        <v>100</v>
      </c>
      <c r="B33" s="142" t="str">
        <f>VLOOKUP(J33,Lang!$A$1:D$2628,Lang!$L$1+1,FALSE)</f>
        <v>Zajištění prevence proti živelním událostem</v>
      </c>
      <c r="C33" s="150">
        <f>+'B-GOV4'!C19</f>
        <v>0</v>
      </c>
      <c r="D33" s="278" t="str">
        <f>+'B-GOV4'!B22</f>
        <v/>
      </c>
      <c r="E33" s="140" t="str">
        <f>IF('B-GOV4'!C16&lt;&gt;"","(!)","")</f>
        <v>(!)</v>
      </c>
      <c r="J33" s="151">
        <v>24</v>
      </c>
    </row>
    <row r="34" spans="1:10" s="151" customFormat="1" ht="45" customHeight="1" x14ac:dyDescent="0.25">
      <c r="A34" s="144" t="s">
        <v>124</v>
      </c>
      <c r="B34" s="142" t="str">
        <f>VLOOKUP(J34,Lang!$A$1:D$2628,Lang!$L$1+1,FALSE)</f>
        <v>Spotřeba tepla v budově – zdroj v budově</v>
      </c>
      <c r="C34" s="150">
        <f>'B-EMI1'!C$17</f>
        <v>0</v>
      </c>
      <c r="D34" s="278" t="str">
        <f>'B-EMI1'!B$23</f>
        <v/>
      </c>
      <c r="E34" s="150"/>
      <c r="J34" s="151">
        <v>25</v>
      </c>
    </row>
    <row r="35" spans="1:10" s="151" customFormat="1" ht="45" customHeight="1" x14ac:dyDescent="0.25">
      <c r="A35" s="144" t="s">
        <v>125</v>
      </c>
      <c r="B35" s="142" t="str">
        <f>VLOOKUP(J35,Lang!$A$1:D$2628,Lang!$L$1+1,FALSE)</f>
        <v>Spotřeba tepla v budově – dálkový zdroj</v>
      </c>
      <c r="C35" s="153">
        <f>'B-EMI2'!C$17</f>
        <v>0</v>
      </c>
      <c r="D35" s="278" t="str">
        <f>'B-EMI2'!B$23</f>
        <v/>
      </c>
      <c r="E35" s="150"/>
      <c r="J35" s="151">
        <v>26</v>
      </c>
    </row>
    <row r="36" spans="1:10" s="196" customFormat="1" ht="15" customHeight="1" x14ac:dyDescent="0.25">
      <c r="A36" s="197" t="s">
        <v>126</v>
      </c>
      <c r="B36" s="142" t="str">
        <f>VLOOKUP(J36,Lang!$A$1:D$2628,Lang!$L$1+1,FALSE)</f>
        <v>Spotřeba elektřiny v budově</v>
      </c>
      <c r="C36" s="198" t="str">
        <f ca="1">'B-EMI3'!B$17</f>
        <v>0 kg CO₂</v>
      </c>
      <c r="D36" s="274" t="str">
        <f>'B-EMI3'!B$23</f>
        <v/>
      </c>
      <c r="E36" s="195"/>
      <c r="J36" s="171">
        <v>27</v>
      </c>
    </row>
    <row r="37" spans="1:10" s="151" customFormat="1" ht="45" customHeight="1" x14ac:dyDescent="0.25">
      <c r="A37" s="144" t="s">
        <v>127</v>
      </c>
      <c r="B37" s="142" t="str">
        <f>VLOOKUP(J37,Lang!$A$1:D$2628,Lang!$L$1+1,FALSE)</f>
        <v>Výroba elektřiny v budově z OZE</v>
      </c>
      <c r="C37" s="153">
        <f>'B-EMI4'!C$17</f>
        <v>0</v>
      </c>
      <c r="D37" s="278" t="str">
        <f>'B-EMI4'!B$23</f>
        <v/>
      </c>
      <c r="E37" s="150"/>
      <c r="J37" s="151">
        <v>28</v>
      </c>
    </row>
    <row r="38" spans="1:10" s="151" customFormat="1" ht="45" customHeight="1" x14ac:dyDescent="0.25">
      <c r="A38" s="144" t="s">
        <v>128</v>
      </c>
      <c r="B38" s="142" t="str">
        <f>VLOOKUP(J38,Lang!$A$1:D$2628,Lang!$L$1+1,FALSE)</f>
        <v>Produkce tuhého komunálního odpadu v budově</v>
      </c>
      <c r="C38" s="153">
        <f>'B-EMI5'!C$17</f>
        <v>0</v>
      </c>
      <c r="D38" s="278" t="str">
        <f>'B-EMI5'!B$23</f>
        <v/>
      </c>
      <c r="E38" s="150"/>
      <c r="J38" s="151">
        <v>29</v>
      </c>
    </row>
    <row r="39" spans="1:10" s="151" customFormat="1" ht="45" customHeight="1" x14ac:dyDescent="0.25">
      <c r="A39" s="144" t="s">
        <v>129</v>
      </c>
      <c r="B39" s="142" t="str">
        <f>VLOOKUP(J39,Lang!$A$1:D$2628,Lang!$L$1+1,FALSE)</f>
        <v>Produkce odpadní vody v budově</v>
      </c>
      <c r="C39" s="153">
        <f>'B-EMI6'!C$17</f>
        <v>0</v>
      </c>
      <c r="D39" s="278" t="str">
        <f>'B-EMI6'!B$23</f>
        <v/>
      </c>
      <c r="E39" s="150"/>
      <c r="J39" s="151">
        <v>30</v>
      </c>
    </row>
    <row r="40" spans="1:10" s="45" customFormat="1" x14ac:dyDescent="0.25">
      <c r="B40" s="227"/>
    </row>
    <row r="41" spans="1:10" s="45" customFormat="1" x14ac:dyDescent="0.25">
      <c r="B41" s="227"/>
    </row>
    <row r="42" spans="1:10" s="45" customFormat="1" x14ac:dyDescent="0.25">
      <c r="B42" s="180"/>
    </row>
    <row r="43" spans="1:10" s="45" customFormat="1" x14ac:dyDescent="0.25">
      <c r="B43" s="180"/>
    </row>
  </sheetData>
  <sheetProtection sheet="1" objects="1" scenarios="1"/>
  <mergeCells count="1">
    <mergeCell ref="D3:E5"/>
  </mergeCells>
  <dataValidations count="1">
    <dataValidation type="list" allowBlank="1" showInputMessage="1" showErrorMessage="1" sqref="E1">
      <formula1>$J$1:$J$3</formula1>
    </dataValidation>
  </dataValidations>
  <hyperlinks>
    <hyperlink ref="A29" location="'B-AD10'!A1" display="B-AD10"/>
    <hyperlink ref="A33" location="'B-GOV4'!A1" display="B-GOV4"/>
    <hyperlink ref="A32" location="'B-GOV3'!A1" display="B-GOV3"/>
    <hyperlink ref="A31" location="'B-GOV2'!A1" display="B-GOV2"/>
    <hyperlink ref="A30" location="'B-GOV1'!A1" display="B-GOV1"/>
    <hyperlink ref="A28" location="'B-AD9'!A1" display="B-AD9"/>
    <hyperlink ref="A27" location="'B-AD8'!A1" display="B-AD8"/>
    <hyperlink ref="A26" location="'B-AD7'!A1" display="B-AD7"/>
    <hyperlink ref="A25" location="'B-AD6'!A1" display="B-AD6"/>
    <hyperlink ref="A23" location="'B-AD4'!A1" display="B-AD4"/>
    <hyperlink ref="A22" location="'B-AD3'!A1" display="B-AD3"/>
    <hyperlink ref="A21" location="'B-AD2'!A1" display="B-AD2"/>
    <hyperlink ref="A20" location="'B-AD1'!A1" display="B-AD1"/>
    <hyperlink ref="A19" location="'B-EX4'!A1" display="B-EX4"/>
    <hyperlink ref="A18" location="'B-EX3'!A1" display="B-EX3"/>
    <hyperlink ref="A17" location="'B-EX2'!A1" display="B-EX2"/>
    <hyperlink ref="A16" location="'B-EX1'!A1" display="B-EX1"/>
    <hyperlink ref="A15" location="'B-POP6'!A1" display="B-POP6"/>
    <hyperlink ref="A14" location="'B-POP5'!A1" display="B-POP5"/>
    <hyperlink ref="A13" location="'B-POP4'!A1" display="B-POP4"/>
    <hyperlink ref="A12" location="'B-POP3'!A1" display="B-POP3"/>
    <hyperlink ref="A11" location="'B-POP2'!A1" display="B-POP2"/>
    <hyperlink ref="A10" location="'B-POP1'!A1" display="B-POP1"/>
    <hyperlink ref="A3" location="'Identifikace budovy'!A1" display="Označení budovy:"/>
    <hyperlink ref="A24" location="'B-AD5'!A1" display="B-AD5"/>
    <hyperlink ref="A39" location="'B-EMI6'!A1" display="B-EMI6"/>
    <hyperlink ref="A38" location="'B-EMI5'!A1" display="B-EMI5"/>
    <hyperlink ref="A37" location="'B-EMI4'!A1" display="B-EMI4"/>
    <hyperlink ref="A36" location="'B-EMI3'!A1" display="B-EMI3"/>
    <hyperlink ref="A35" location="'B-EMI2'!A1" display="B-EMI2"/>
    <hyperlink ref="A34" location="'B-EMI1'!A1" display="B-EMI1"/>
    <hyperlink ref="A4" location="'Identifikace budovy'!A1" display="Adresa:"/>
    <hyperlink ref="A5" location="'Identifikace budovy'!A1" display="Adresa:"/>
    <hyperlink ref="A6" location="'Identifikace budovy'!B7" display="'Identifikace budovy'!B7"/>
    <hyperlink ref="A7" location="'Identifikace budovy'!B8" display="'Identifikace budovy'!B8"/>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9"/>
  <sheetViews>
    <sheetView showGridLines="0" workbookViewId="0">
      <selection activeCell="A7" sqref="A7"/>
    </sheetView>
  </sheetViews>
  <sheetFormatPr defaultRowHeight="15" x14ac:dyDescent="0.25"/>
  <cols>
    <col min="1" max="1" width="88.5703125" style="29" bestFit="1" customWidth="1"/>
    <col min="2" max="2" width="22.28515625" customWidth="1"/>
    <col min="3" max="3" width="13.28515625" customWidth="1"/>
    <col min="6" max="6" width="9.140625" customWidth="1"/>
    <col min="7" max="7" width="67.7109375" hidden="1" customWidth="1"/>
    <col min="8" max="8" width="9.140625" style="159" hidden="1" customWidth="1"/>
    <col min="9" max="10" width="9.140625" hidden="1" customWidth="1"/>
    <col min="11" max="11" width="37" hidden="1" customWidth="1"/>
    <col min="12" max="12" width="9.140625" customWidth="1"/>
    <col min="13" max="13" width="17.7109375" customWidth="1"/>
  </cols>
  <sheetData>
    <row r="1" spans="1:11" s="210" customFormat="1" ht="32.25" customHeight="1" x14ac:dyDescent="0.25">
      <c r="A1" s="209" t="str">
        <f>VLOOKUP(50,Lang!A1:D2628,Lang!L1+1,FALSE)</f>
        <v>B-EX1 - Povodňové riziko</v>
      </c>
      <c r="E1" s="299" t="str">
        <f>VLOOKUP(129,Lang!A1:D2628,Lang!L1+1,FALSE)</f>
        <v>Navigace</v>
      </c>
      <c r="F1" s="300"/>
    </row>
    <row r="2" spans="1:11" ht="28.5" customHeight="1" thickBot="1" x14ac:dyDescent="0.3">
      <c r="A2" s="199" t="str">
        <f>VLOOKUP(130,Lang!A1:D2628,Lang!L1+1,FALSE)</f>
        <v>Metodický list indikátoru</v>
      </c>
      <c r="E2" s="100"/>
      <c r="F2" s="101"/>
    </row>
    <row r="3" spans="1:11" x14ac:dyDescent="0.25">
      <c r="A3" s="28" t="str">
        <f>VLOOKUP(87,Lang!A1:D2628,Lang!L1+1,FALSE)</f>
        <v>Vyberte povodňové riziko domu</v>
      </c>
    </row>
    <row r="4" spans="1:11" s="139" customFormat="1" ht="15" customHeight="1" x14ac:dyDescent="0.25">
      <c r="A4" s="205"/>
      <c r="H4" s="160"/>
    </row>
    <row r="7" spans="1:11" ht="18.75" x14ac:dyDescent="0.3">
      <c r="A7" s="72" t="str">
        <f>VLOOKUP(139,Lang!A1:D2628,Lang!L1+1,FALSE)</f>
        <v>Hodnota indikátoru</v>
      </c>
      <c r="B7" s="70" t="str">
        <f>IF(A4="",VLOOKUP(41,Lang!A1:D2628,Lang!L1+1,FALSE),VLOOKUP(VLOOKUP(A4,G14:H19,2,FALSE),J14:K18,2,FALSE))</f>
        <v>neúplné vstupy</v>
      </c>
    </row>
    <row r="9" spans="1:11" ht="15.75" thickBot="1" x14ac:dyDescent="0.3"/>
    <row r="10" spans="1:11" ht="18" thickBot="1" x14ac:dyDescent="0.35">
      <c r="A10" s="230" t="str">
        <f>VLOOKUP(268,Lang!A$1:D$2628,Lang!L$1+1,FALSE)</f>
        <v>Hodnota pro vložení do Klimaskenu</v>
      </c>
      <c r="B10" s="231" t="str">
        <f>IF(A4="","",VLOOKUP(VLOOKUP(A4,G14:H19,2,FALSE),J14:K18,1,FALSE))</f>
        <v/>
      </c>
    </row>
    <row r="14" spans="1:11" ht="45" customHeight="1" thickBot="1" x14ac:dyDescent="0.3">
      <c r="G14" s="157" t="str">
        <f>VLOOKUP(88,Lang!A1:D2628,Lang!L$1+1,FALSE)</f>
        <v>Zanedbatelné riziko povodně (poloha mimo Q₁₀₀)</v>
      </c>
      <c r="H14" s="26">
        <v>1</v>
      </c>
      <c r="I14">
        <v>40</v>
      </c>
      <c r="J14">
        <v>5</v>
      </c>
      <c r="K14" t="s">
        <v>2</v>
      </c>
    </row>
    <row r="15" spans="1:11" ht="45" customHeight="1" thickTop="1" thickBot="1" x14ac:dyDescent="0.3">
      <c r="G15" s="157" t="str">
        <f>VLOOKUP(89,Lang!A2:D2629,Lang!L$1+1,FALSE)</f>
        <v>Nízké riziko povodně (poloha v Q₁₀₀)</v>
      </c>
      <c r="H15" s="27">
        <v>2</v>
      </c>
      <c r="I15">
        <v>30</v>
      </c>
      <c r="J15">
        <v>4</v>
      </c>
      <c r="K15" t="s">
        <v>3</v>
      </c>
    </row>
    <row r="16" spans="1:11" ht="45" customHeight="1" thickTop="1" thickBot="1" x14ac:dyDescent="0.3">
      <c r="G16" s="157" t="str">
        <f>VLOOKUP(90,Lang!A3:D2630,Lang!L$1+1,FALSE)</f>
        <v>Střední riziko povodně (poloha v Q₅₀)</v>
      </c>
      <c r="H16" s="26">
        <v>3</v>
      </c>
      <c r="I16">
        <v>20</v>
      </c>
      <c r="J16">
        <v>3</v>
      </c>
      <c r="K16" t="s">
        <v>4</v>
      </c>
    </row>
    <row r="17" spans="7:11" ht="45" customHeight="1" thickTop="1" thickBot="1" x14ac:dyDescent="0.3">
      <c r="G17" s="157" t="str">
        <f>VLOOKUP(91,Lang!A4:D2631,Lang!L$1+1,FALSE)</f>
        <v>Vysoké riziko povodně (poloha v Q₂₀)</v>
      </c>
      <c r="H17" s="27">
        <v>4</v>
      </c>
      <c r="I17">
        <v>20</v>
      </c>
      <c r="J17">
        <v>2</v>
      </c>
      <c r="K17" t="s">
        <v>5</v>
      </c>
    </row>
    <row r="18" spans="7:11" ht="45" customHeight="1" thickTop="1" thickBot="1" x14ac:dyDescent="0.3">
      <c r="G18" s="157" t="str">
        <f>VLOOKUP(92,Lang!A5:D2632,Lang!L$1+1,FALSE)</f>
        <v>Extrémní riziko povodně (poloha v Q₅)</v>
      </c>
      <c r="H18" s="26">
        <v>5</v>
      </c>
      <c r="I18">
        <v>20</v>
      </c>
      <c r="J18">
        <v>1</v>
      </c>
      <c r="K18" t="s">
        <v>6</v>
      </c>
    </row>
    <row r="19" spans="7:11" ht="16.5" thickTop="1" thickBot="1" x14ac:dyDescent="0.3">
      <c r="G19" s="55"/>
      <c r="H19" s="27"/>
    </row>
    <row r="20" spans="7:11" ht="15.75" thickTop="1" x14ac:dyDescent="0.25">
      <c r="J20" t="e">
        <f>VLOOKUP(A4,G14:I19,3,FALSE)</f>
        <v>#N/A</v>
      </c>
    </row>
    <row r="23" spans="7:11" ht="15.75" thickBot="1" x14ac:dyDescent="0.3">
      <c r="G23" s="29"/>
    </row>
    <row r="24" spans="7:11" ht="31.5" thickTop="1" thickBot="1" x14ac:dyDescent="0.3">
      <c r="G24" s="30" t="s">
        <v>131</v>
      </c>
      <c r="H24" s="24" t="s">
        <v>132</v>
      </c>
      <c r="I24" s="23"/>
    </row>
    <row r="25" spans="7:11" s="139" customFormat="1" ht="45" customHeight="1" thickTop="1" thickBot="1" x14ac:dyDescent="0.3">
      <c r="G25" s="157" t="s">
        <v>158</v>
      </c>
      <c r="H25" s="26">
        <v>3</v>
      </c>
      <c r="I25" s="158"/>
    </row>
    <row r="26" spans="7:11" s="139" customFormat="1" ht="45" customHeight="1" thickTop="1" thickBot="1" x14ac:dyDescent="0.3">
      <c r="G26" s="157" t="s">
        <v>133</v>
      </c>
      <c r="H26" s="27">
        <v>1</v>
      </c>
      <c r="I26" s="158"/>
    </row>
    <row r="27" spans="7:11" s="139" customFormat="1" ht="45" customHeight="1" thickTop="1" thickBot="1" x14ac:dyDescent="0.3">
      <c r="G27" s="157" t="s">
        <v>134</v>
      </c>
      <c r="H27" s="26">
        <v>1.5</v>
      </c>
      <c r="I27" s="158"/>
    </row>
    <row r="28" spans="7:11" s="139" customFormat="1" ht="45" customHeight="1" thickTop="1" thickBot="1" x14ac:dyDescent="0.3">
      <c r="G28" s="157" t="s">
        <v>135</v>
      </c>
      <c r="H28" s="27">
        <v>2</v>
      </c>
      <c r="I28" s="158"/>
    </row>
    <row r="29" spans="7:11" s="139" customFormat="1" ht="45" customHeight="1" thickTop="1" thickBot="1" x14ac:dyDescent="0.3">
      <c r="G29" s="157" t="s">
        <v>136</v>
      </c>
      <c r="H29" s="26">
        <v>1.5</v>
      </c>
      <c r="I29" s="158"/>
    </row>
    <row r="30" spans="7:11" s="139" customFormat="1" ht="45" customHeight="1" thickTop="1" thickBot="1" x14ac:dyDescent="0.3">
      <c r="G30" s="157" t="s">
        <v>163</v>
      </c>
      <c r="H30" s="27">
        <v>3</v>
      </c>
      <c r="I30" s="158"/>
    </row>
    <row r="31" spans="7:11" ht="15.75" thickTop="1" x14ac:dyDescent="0.25">
      <c r="G31" s="29"/>
    </row>
    <row r="32" spans="7:11" ht="15.75" thickBot="1" x14ac:dyDescent="0.3">
      <c r="G32" s="29"/>
    </row>
    <row r="33" spans="7:11" ht="15.75" thickBot="1" x14ac:dyDescent="0.3">
      <c r="G33" s="2" t="s">
        <v>2</v>
      </c>
      <c r="H33" s="3" t="s">
        <v>3</v>
      </c>
      <c r="I33" s="4" t="s">
        <v>4</v>
      </c>
      <c r="J33" s="5" t="s">
        <v>5</v>
      </c>
      <c r="K33" s="6" t="s">
        <v>6</v>
      </c>
    </row>
    <row r="34" spans="7:11" ht="15.75" thickBot="1" x14ac:dyDescent="0.3">
      <c r="G34" s="15">
        <v>3</v>
      </c>
      <c r="H34" s="7">
        <v>2.5</v>
      </c>
      <c r="I34" s="7">
        <v>2</v>
      </c>
      <c r="J34" s="7">
        <v>1.5</v>
      </c>
      <c r="K34" s="7">
        <v>1</v>
      </c>
    </row>
    <row r="35" spans="7:11" x14ac:dyDescent="0.25">
      <c r="G35" s="29"/>
    </row>
    <row r="36" spans="7:11" x14ac:dyDescent="0.25">
      <c r="G36" s="29"/>
    </row>
    <row r="37" spans="7:11" x14ac:dyDescent="0.25">
      <c r="G37" s="29"/>
    </row>
    <row r="38" spans="7:11" x14ac:dyDescent="0.25">
      <c r="G38" s="29"/>
    </row>
    <row r="39" spans="7:11" x14ac:dyDescent="0.25">
      <c r="G39" s="29"/>
    </row>
  </sheetData>
  <sheetProtection sheet="1" objects="1" scenarios="1"/>
  <mergeCells count="1">
    <mergeCell ref="E1:F1"/>
  </mergeCells>
  <conditionalFormatting sqref="B10">
    <cfRule type="iconSet" priority="1">
      <iconSet iconSet="3Symbols2">
        <cfvo type="percent" val="0"/>
        <cfvo type="percent" val="33"/>
        <cfvo type="percent" val="67"/>
      </iconSet>
    </cfRule>
  </conditionalFormatting>
  <dataValidations disablePrompts="1" count="1">
    <dataValidation type="list" allowBlank="1" showInputMessage="1" showErrorMessage="1" sqref="A4">
      <formula1>$G$14:$G$18</formula1>
    </dataValidation>
  </dataValidation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22"/>
  <sheetViews>
    <sheetView showGridLines="0" workbookViewId="0">
      <selection activeCell="B5" sqref="B5"/>
    </sheetView>
  </sheetViews>
  <sheetFormatPr defaultRowHeight="15" x14ac:dyDescent="0.25"/>
  <cols>
    <col min="1" max="1" width="103.85546875" style="45" customWidth="1"/>
    <col min="2" max="2" width="18.85546875" style="45" customWidth="1"/>
    <col min="3" max="3" width="32.7109375" style="45" customWidth="1"/>
    <col min="4" max="4" width="13.28515625" style="45" customWidth="1"/>
    <col min="5" max="6" width="9.140625" style="45"/>
    <col min="7" max="9" width="9.140625" style="45" hidden="1" customWidth="1"/>
    <col min="10" max="10" width="18.5703125" style="45" hidden="1" customWidth="1"/>
    <col min="11" max="12" width="8.7109375" style="45" hidden="1" customWidth="1"/>
    <col min="13" max="14" width="9.140625" style="45" hidden="1" customWidth="1"/>
    <col min="15" max="18" width="9.140625" style="45" customWidth="1"/>
    <col min="19" max="16384" width="9.140625" style="45"/>
  </cols>
  <sheetData>
    <row r="1" spans="1:10" s="210" customFormat="1" ht="32.25" customHeight="1" x14ac:dyDescent="0.25">
      <c r="A1" s="209" t="str">
        <f>VLOOKUP(51,Lang!A1:D2628,Lang!L1+1,FALSE)</f>
        <v>B-EX2 - Ohrožení infrastruktury záplavami</v>
      </c>
      <c r="E1" s="299" t="str">
        <f>VLOOKUP(129,Lang!A1:D2628,Lang!L1+1,FALSE)</f>
        <v>Navigace</v>
      </c>
      <c r="F1" s="300"/>
    </row>
    <row r="2" spans="1:10" ht="28.5" customHeight="1" thickBot="1" x14ac:dyDescent="0.3">
      <c r="A2" s="199" t="str">
        <f>VLOOKUP(130,Lang!A1:D2628,Lang!L1+1,FALSE)</f>
        <v>Metodický list indikátoru</v>
      </c>
      <c r="E2" s="201"/>
      <c r="F2" s="202"/>
    </row>
    <row r="3" spans="1:10" x14ac:dyDescent="0.25">
      <c r="A3" s="52"/>
    </row>
    <row r="4" spans="1:10" x14ac:dyDescent="0.25">
      <c r="A4" s="52" t="str">
        <f>VLOOKUP(76,Lang!A1:D2628,Lang!L1+1,FALSE)</f>
        <v>Pro budovu platí, že: (ANO/NE)</v>
      </c>
    </row>
    <row r="5" spans="1:10" ht="15" customHeight="1" x14ac:dyDescent="0.25">
      <c r="C5" s="161" t="str">
        <f>IF(ISNA(J5),"Vyplňte nejdříve indikátor B-EX1/Vyplňte najskôr indikátor B-EX1/Fill in the B-EX1 indicator first","")</f>
        <v/>
      </c>
      <c r="D5" s="161"/>
      <c r="J5" s="45" t="str">
        <f>CONCATENATE('B-EX1'!A4)</f>
        <v/>
      </c>
    </row>
    <row r="6" spans="1:10" ht="19.5" customHeight="1" x14ac:dyDescent="0.25">
      <c r="A6" s="68" t="str">
        <f>VLOOKUP(77,Lang!A$1:D$2628,Lang!L$1+1,FALSE)</f>
        <v>Dům byl v posledních 5 letech zaplaven</v>
      </c>
      <c r="B6" s="154"/>
      <c r="J6" s="45" t="e">
        <f>IF(B6=VLOOKUP(75,Lang!A$1:D$2628,Lang!L$1+1,FALSE),20,+'B-EX1'!J20)</f>
        <v>#N/A</v>
      </c>
    </row>
    <row r="7" spans="1:10" ht="20.25" customHeight="1" x14ac:dyDescent="0.25">
      <c r="A7" s="68" t="str">
        <f>VLOOKUP(78,Lang!A$1:D$2628,Lang!L$1+1,FALSE)</f>
        <v>Objekt má časť pod úrovňou terénu bez fuknčného zariadení odčerpanie záplavovej vody</v>
      </c>
      <c r="B7" s="154"/>
      <c r="J7" s="45">
        <f>IF(B7=VLOOKUP(74,Lang!A$1:D$2628,Lang!L$1+1,FALSE),-3,0)</f>
        <v>0</v>
      </c>
    </row>
    <row r="8" spans="1:10" ht="21" customHeight="1" x14ac:dyDescent="0.25">
      <c r="A8" s="68" t="str">
        <f>VLOOKUP(79,Lang!A$1:D$2628,Lang!L$1+1,FALSE)</f>
        <v>Technologická místnost/hlavní technologické zařízení objektu je v suterénu</v>
      </c>
      <c r="B8" s="154"/>
      <c r="J8" s="45">
        <f>IF(B8=VLOOKUP(74,Lang!A$1:D$2628,Lang!L$1+1,FALSE),-3,0)</f>
        <v>0</v>
      </c>
    </row>
    <row r="9" spans="1:10" ht="21" customHeight="1" x14ac:dyDescent="0.25">
      <c r="A9" s="68" t="str">
        <f>VLOOKUP(80,Lang!A$1:D$2628,Lang!L$1+1,FALSE)</f>
        <v>V blízkosti hranice objektu (do 5 m) jsou kanalizační vpusti nad úrovní suterénu</v>
      </c>
      <c r="B9" s="154"/>
      <c r="J9" s="45">
        <f>IF(B9=VLOOKUP(74,Lang!A$1:D$2628,Lang!L$1+1,FALSE),-2,0)</f>
        <v>0</v>
      </c>
    </row>
    <row r="10" spans="1:10" ht="18" customHeight="1" x14ac:dyDescent="0.25">
      <c r="A10" s="68" t="str">
        <f>VLOOKUP(81,Lang!A$1:D$2628,Lang!L$1+1,FALSE)</f>
        <v>Potrubí dešťové kanalizace a/nebo splaškové kanalizace nesplňují všechny normy na profil a sklon</v>
      </c>
      <c r="B10" s="154"/>
      <c r="J10" s="45">
        <f>IF(B10=VLOOKUP(74,Lang!A$1:D$2628,Lang!L$1+1,FALSE),-2,0)</f>
        <v>0</v>
      </c>
    </row>
    <row r="11" spans="1:10" ht="22.5" customHeight="1" x14ac:dyDescent="0.25">
      <c r="A11" s="68" t="str">
        <f>VLOOKUP(82,Lang!A$1:D$2628,Lang!L$1+1,FALSE)</f>
        <v>Střešní vtoky a výtoky z okapů nejsou opatřené mřížkou</v>
      </c>
      <c r="B11" s="154"/>
      <c r="J11" s="45">
        <f>IF(B11=VLOOKUP(74,Lang!A$1:D$2628,Lang!L$1+1,FALSE),-1,0)</f>
        <v>0</v>
      </c>
    </row>
    <row r="12" spans="1:10" ht="21" customHeight="1" x14ac:dyDescent="0.25">
      <c r="A12" s="68" t="str">
        <f>VLOOKUP(83,Lang!A$1:D$2628,Lang!L$1+1,FALSE)</f>
        <v>Objekt je připojený na dešťovou kanalizaci a tato přípojka není opatřená zařízením proti vzdutí</v>
      </c>
      <c r="B12" s="154"/>
      <c r="J12" s="45">
        <f>IF(B12=VLOOKUP(74,Lang!A$1:D$2628,Lang!L$1+1,FALSE),-2,0)</f>
        <v>0</v>
      </c>
    </row>
    <row r="13" spans="1:10" ht="20.25" customHeight="1" x14ac:dyDescent="0.25">
      <c r="A13" s="68" t="str">
        <f>VLOOKUP(84,Lang!A$1:D$2628,Lang!L$1+1,FALSE)</f>
        <v xml:space="preserve">Přípojka dešťové kanalizace je bez zpětné klapky                                                                                                                                   </v>
      </c>
      <c r="B13" s="154"/>
      <c r="J13" s="45">
        <f>IF(B13=VLOOKUP(74,Lang!A$1:D$2628,Lang!L$1+1,FALSE),-1,0)</f>
        <v>0</v>
      </c>
    </row>
    <row r="14" spans="1:10" ht="40.5" customHeight="1" x14ac:dyDescent="0.25">
      <c r="A14" s="68" t="str">
        <f>VLOOKUP(85,Lang!A$1:D$2628,Lang!L$1+1,FALSE)</f>
        <v>Umístění hlavních elektrických zařízení (hlavní jistič, domovní jističe, pojistková skříň, hlavní vypínač elektřiny, rozvaděče, HDO a podobně) jsou umístěné v suterénu níže než 2,5 m nad definitivně upraveným terénem</v>
      </c>
      <c r="B14" s="154"/>
      <c r="J14" s="45">
        <f>IF(B14=VLOOKUP(74,Lang!A$1:D$2628,Lang!L$1+1,FALSE),-3,0)</f>
        <v>0</v>
      </c>
    </row>
    <row r="15" spans="1:10" ht="22.5" customHeight="1" x14ac:dyDescent="0.25">
      <c r="A15" s="68" t="str">
        <f>VLOOKUP(86,Lang!A$1:D$2628,Lang!L$1+1,FALSE)</f>
        <v>Hlavní uzávěr plynu a plynoměr je umístěný v suterénu</v>
      </c>
      <c r="B15" s="154"/>
      <c r="J15" s="45">
        <f>IF(B15=VLOOKUP(74,Lang!A$1:D$2628,Lang!L$1+1,FALSE),-1,0)</f>
        <v>0</v>
      </c>
    </row>
    <row r="16" spans="1:10" x14ac:dyDescent="0.25">
      <c r="J16" s="45" t="e">
        <f>SUM(J5:J15)</f>
        <v>#N/A</v>
      </c>
    </row>
    <row r="17" spans="1:2" x14ac:dyDescent="0.25">
      <c r="A17" s="232" t="str">
        <f>IF(J5="",VLOOKUP(269,Lang!A$1:D$2626,Lang!L$1+1,FALSE),"")</f>
        <v>Nejdřív musí být vyplněny údaje k indikátoru B-EX1 - Povodňové riziko</v>
      </c>
    </row>
    <row r="19" spans="1:2" ht="18.75" x14ac:dyDescent="0.25">
      <c r="A19" s="203" t="str">
        <f>VLOOKUP(139,Lang!A1:D2628,Lang!L1+1,FALSE)</f>
        <v>Hodnota indikátoru</v>
      </c>
      <c r="B19" s="204" t="str">
        <f>IF(OR(J5="",COUNTBLANK(B6:B15)&gt;0),VLOOKUP(41,Lang!A1:D2628,Lang!L1+1,FALSE),J16)</f>
        <v>neúplné vstupy</v>
      </c>
    </row>
    <row r="21" spans="1:2" ht="15.75" thickBot="1" x14ac:dyDescent="0.3"/>
    <row r="22" spans="1:2" ht="18" thickBot="1" x14ac:dyDescent="0.35">
      <c r="A22" s="230" t="str">
        <f>VLOOKUP(268,Lang!A$1:D$2628,Lang!L$1+1,FALSE)</f>
        <v>Hodnota pro vložení do Klimaskenu</v>
      </c>
      <c r="B22" s="231" t="str">
        <f>IF(OR(J5="",COUNTBLANK(B6:B15)&gt;0),"",J16)</f>
        <v/>
      </c>
    </row>
  </sheetData>
  <sheetProtection sheet="1" objects="1" scenarios="1"/>
  <mergeCells count="1">
    <mergeCell ref="E1:F1"/>
  </mergeCells>
  <conditionalFormatting sqref="B22">
    <cfRule type="iconSet" priority="1">
      <iconSet iconSet="3Symbols2">
        <cfvo type="percent" val="0"/>
        <cfvo type="percent" val="33"/>
        <cfvo type="percent" val="67"/>
      </iconSet>
    </cfRule>
  </conditionalFormatting>
  <hyperlinks>
    <hyperlink ref="A17" location="'B-EX1'!B4" display="'B-EX1'!B4"/>
  </hyperlink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INDIRECT(CONCATENATE("ANONE",Lang!L$1))</xm:f>
          </x14:formula1>
          <xm:sqref>B6:B15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19"/>
  <sheetViews>
    <sheetView showGridLines="0" workbookViewId="0">
      <selection activeCell="B6" sqref="B6:B11"/>
    </sheetView>
  </sheetViews>
  <sheetFormatPr defaultRowHeight="15" x14ac:dyDescent="0.25"/>
  <cols>
    <col min="1" max="1" width="109.42578125" style="29" customWidth="1"/>
    <col min="2" max="2" width="22.28515625" customWidth="1"/>
    <col min="3" max="3" width="17.85546875" customWidth="1"/>
    <col min="4" max="4" width="13.28515625" customWidth="1"/>
    <col min="7" max="9" width="9.140625" customWidth="1"/>
    <col min="10" max="10" width="18.5703125" hidden="1" customWidth="1"/>
    <col min="11" max="12" width="8.7109375" hidden="1" customWidth="1"/>
  </cols>
  <sheetData>
    <row r="1" spans="1:10" s="208" customFormat="1" ht="32.25" customHeight="1" x14ac:dyDescent="0.25">
      <c r="A1" s="207" t="str">
        <f>VLOOKUP(52,Lang!A1:D2628,Lang!L1+1,FALSE)</f>
        <v>B-EX3 - Ohrožení stavby extrémními meteorologickými jevy</v>
      </c>
      <c r="E1" s="297" t="str">
        <f>VLOOKUP(129,Lang!A1:D2628,Lang!L1+1,FALSE)</f>
        <v>Navigace</v>
      </c>
      <c r="F1" s="298"/>
    </row>
    <row r="2" spans="1:10" ht="28.5" customHeight="1" thickBot="1" x14ac:dyDescent="0.3">
      <c r="A2" s="199" t="str">
        <f>VLOOKUP(130,Lang!A1:D2628,Lang!L1+1,FALSE)</f>
        <v>Metodický list indikátoru</v>
      </c>
      <c r="E2" s="100"/>
      <c r="F2" s="101"/>
    </row>
    <row r="3" spans="1:10" x14ac:dyDescent="0.25">
      <c r="A3" s="28"/>
    </row>
    <row r="4" spans="1:10" x14ac:dyDescent="0.25">
      <c r="A4" s="28" t="str">
        <f>VLOOKUP(76,Lang!A1:D2628,Lang!L1+1,FALSE)</f>
        <v>Pro budovu platí, že: (ANO/NE)</v>
      </c>
    </row>
    <row r="5" spans="1:10" x14ac:dyDescent="0.25">
      <c r="C5" s="60" t="str">
        <f>IF(ISNA(J5),"Vyplňte nejdříve indikátor B-EX1","")</f>
        <v/>
      </c>
      <c r="D5" s="60"/>
    </row>
    <row r="6" spans="1:10" s="162" customFormat="1" ht="21" customHeight="1" x14ac:dyDescent="0.25">
      <c r="A6" s="68" t="str">
        <f>VLOOKUP(93,Lang!A1:D2628,Lang!L$1+1,FALSE)</f>
        <v>Stavba je vybavená funkčním a pravidelně kontrolovaným hromosvodem.</v>
      </c>
      <c r="B6" s="154"/>
      <c r="J6" s="162">
        <f>IF(B6=VLOOKUP(74,Lang!A1:D2628,Lang!$L$1+1,FALSE),3,0)</f>
        <v>0</v>
      </c>
    </row>
    <row r="7" spans="1:10" s="162" customFormat="1" ht="30" customHeight="1" x14ac:dyDescent="0.25">
      <c r="A7" s="68" t="str">
        <f>VLOOKUP(94,Lang!A2:D2629,Lang!L$1+1,FALSE)</f>
        <v>Přístupová cesta k objektu je celoročně průjezdná (její průjezdnost je udržována technickými službami obce).</v>
      </c>
      <c r="B7" s="154"/>
      <c r="J7" s="162">
        <f>IF(B7=VLOOKUP(74,Lang!A$1:D$2628,Lang!L$1+1,FALSE),2,0)</f>
        <v>0</v>
      </c>
    </row>
    <row r="8" spans="1:10" s="162" customFormat="1" ht="30" x14ac:dyDescent="0.25">
      <c r="A8" s="68" t="str">
        <f>VLOOKUP(95,Lang!A3:D2630,Lang!L$1+1,FALSE)</f>
        <v>Od okolí do 10 m od budovy se nenacházejí koruny stromů nebo koruny stromů se suchými větvemi či narušenou statikou; stromy blíže než 10 m k budově jsou pravidelně udržované a kontrolované.</v>
      </c>
      <c r="B8" s="154"/>
      <c r="J8" s="162">
        <f>IF(B8=VLOOKUP(74,Lang!A$1:D$2628,Lang!L$1+1,FALSE),2,0)</f>
        <v>0</v>
      </c>
    </row>
    <row r="9" spans="1:10" s="162" customFormat="1" ht="22.5" customHeight="1" x14ac:dyDescent="0.25">
      <c r="A9" s="68" t="str">
        <f>VLOOKUP(96,Lang!A4:D2631,Lang!L$1+1,FALSE)</f>
        <v>Elektrická přípojka k objektu je realizovaná podzemním vedením.</v>
      </c>
      <c r="B9" s="154"/>
      <c r="J9" s="162">
        <f>IF(B9=VLOOKUP(74,Lang!A$1:D$2628,Lang!L$1+1,FALSE),1,0)</f>
        <v>0</v>
      </c>
    </row>
    <row r="10" spans="1:10" s="162" customFormat="1" ht="23.25" customHeight="1" x14ac:dyDescent="0.25">
      <c r="A10" s="68" t="str">
        <f>VLOOKUP(97,Lang!A5:D2632,Lang!L$1+1,FALSE)</f>
        <v>Všechny přípojky sítí jsou umístěné v nezámrzné hloubce; hlavní uzávěr vody je celoročně chráněný před mrazem.</v>
      </c>
      <c r="B10" s="154"/>
      <c r="J10" s="162">
        <f>IF(B10=VLOOKUP(74,Lang!A$1:D$2628,Lang!L$1+1,FALSE),1,0)</f>
        <v>0</v>
      </c>
    </row>
    <row r="11" spans="1:10" s="162" customFormat="1" ht="36" customHeight="1" x14ac:dyDescent="0.25">
      <c r="A11" s="68" t="str">
        <f>VLOOKUP(98,Lang!A6:D2633,Lang!L$1+1,FALSE)</f>
        <v>Je prováděna pravidelná kontrola zabezepčení citlivých technologií souvisejících s budovou (FVE, solární kolektory, markýzy) před nárazovým větrem, kroupami a bouřkami nebo takové technologie na budově nejsou.</v>
      </c>
      <c r="B11" s="154"/>
      <c r="J11" s="162">
        <f>IF(B11=VLOOKUP(74,Lang!A$1:D$2628,Lang!L$1+1,FALSE),1,0)</f>
        <v>0</v>
      </c>
    </row>
    <row r="12" spans="1:10" x14ac:dyDescent="0.25">
      <c r="A12" s="45"/>
      <c r="J12">
        <f>SUM(J6:J11)</f>
        <v>0</v>
      </c>
    </row>
    <row r="13" spans="1:10" x14ac:dyDescent="0.25">
      <c r="A13" s="45"/>
    </row>
    <row r="14" spans="1:10" x14ac:dyDescent="0.25">
      <c r="A14" s="45"/>
    </row>
    <row r="15" spans="1:10" s="29" customFormat="1" ht="18.75" x14ac:dyDescent="0.25">
      <c r="A15" s="168" t="str">
        <f>VLOOKUP(139,Lang!A1:D2628,Lang!L$1+1,FALSE)</f>
        <v>Hodnota indikátoru</v>
      </c>
      <c r="B15" s="163" t="str">
        <f>IF(OR(D5&lt;&gt;"",COUNTBLANK(B6:B11)&gt;0),VLOOKUP(41,Lang!A1:D2628,Lang!L$1+1,FALSE),J12)</f>
        <v>neúplné vstupy</v>
      </c>
    </row>
    <row r="16" spans="1:10" x14ac:dyDescent="0.25">
      <c r="A16" s="45"/>
    </row>
    <row r="17" spans="1:2" ht="15.75" thickBot="1" x14ac:dyDescent="0.3">
      <c r="A17" s="45"/>
    </row>
    <row r="18" spans="1:2" ht="18" thickBot="1" x14ac:dyDescent="0.35">
      <c r="A18" s="230" t="str">
        <f>VLOOKUP(268,Lang!A$1:D$2628,Lang!L$1+1,FALSE)</f>
        <v>Hodnota pro vložení do Klimaskenu</v>
      </c>
      <c r="B18" s="231" t="str">
        <f>IF(COUNTBLANK(B6:B11)&gt;0,"",B15)</f>
        <v/>
      </c>
    </row>
    <row r="19" spans="1:2" x14ac:dyDescent="0.25">
      <c r="A19" s="45"/>
    </row>
  </sheetData>
  <sheetProtection sheet="1" objects="1" scenarios="1"/>
  <mergeCells count="1">
    <mergeCell ref="E1:F1"/>
  </mergeCells>
  <conditionalFormatting sqref="B18">
    <cfRule type="iconSet" priority="1">
      <iconSet iconSet="3Symbols2">
        <cfvo type="percent" val="0"/>
        <cfvo type="percent" val="33"/>
        <cfvo type="percent" val="67"/>
      </iconSet>
    </cfRule>
  </conditionalFormatting>
  <pageMargins left="0.7" right="0.7" top="0.78740157499999996" bottom="0.78740157499999996"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INDIRECT(CONCATENATE("ANONE",Lang!L$1))</xm:f>
          </x14:formula1>
          <xm:sqref>B6:B11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1"/>
  <sheetViews>
    <sheetView showGridLines="0" workbookViewId="0">
      <selection activeCell="B5" sqref="B5"/>
    </sheetView>
  </sheetViews>
  <sheetFormatPr defaultRowHeight="15" x14ac:dyDescent="0.25"/>
  <cols>
    <col min="1" max="1" width="101.140625" customWidth="1"/>
    <col min="2" max="2" width="37.5703125" customWidth="1"/>
    <col min="3" max="3" width="10.42578125" customWidth="1"/>
    <col min="4" max="4" width="6.5703125" customWidth="1"/>
    <col min="9" max="9" width="12.7109375" hidden="1" customWidth="1"/>
    <col min="10" max="10" width="8.7109375" hidden="1" customWidth="1"/>
    <col min="11" max="11" width="0" hidden="1" customWidth="1"/>
  </cols>
  <sheetData>
    <row r="1" spans="1:10" s="210" customFormat="1" ht="32.25" customHeight="1" x14ac:dyDescent="0.25">
      <c r="A1" s="207" t="str">
        <f>VLOOKUP(53,Lang!A1:D2628,Lang!L1+1,FALSE)</f>
        <v>B-EX4 - Rozdíl průměrné roční teploty vzduchu ve sledovaném roce oproti dlouhodobému průměru</v>
      </c>
      <c r="B1" s="208"/>
      <c r="C1" s="208"/>
      <c r="E1" s="299" t="str">
        <f>VLOOKUP(129,Lang!A1:D2628,Lang!L1+1,FALSE)</f>
        <v>Navigace</v>
      </c>
      <c r="F1" s="300"/>
    </row>
    <row r="2" spans="1:10" ht="28.5" customHeight="1" thickBot="1" x14ac:dyDescent="0.3">
      <c r="A2" s="199" t="str">
        <f>VLOOKUP(130,Lang!A1:D2628,Lang!L1+1,FALSE)</f>
        <v>Metodický list indikátoru</v>
      </c>
      <c r="E2" s="100"/>
      <c r="F2" s="101"/>
    </row>
    <row r="3" spans="1:10" x14ac:dyDescent="0.25">
      <c r="A3" s="28"/>
    </row>
    <row r="4" spans="1:10" ht="15.75" thickBot="1" x14ac:dyDescent="0.3"/>
    <row r="5" spans="1:10" ht="21.75" customHeight="1" thickBot="1" x14ac:dyDescent="0.3">
      <c r="A5" s="142" t="str">
        <f>VLOOKUP(112,Lang!A6:D2633,Lang!L$1+1,FALSE)</f>
        <v>Rozdíl průměrné roční teploty vzduchu ve sledovaném roce oproti dlouhodobému průměru (°C)</v>
      </c>
      <c r="B5" s="136"/>
    </row>
    <row r="6" spans="1:10" x14ac:dyDescent="0.25">
      <c r="J6" t="str">
        <f>IF(AND(B5&lt;&gt;"",$B$5&lt;I7),"1 (A)","")</f>
        <v/>
      </c>
    </row>
    <row r="7" spans="1:10" x14ac:dyDescent="0.25">
      <c r="I7">
        <v>0</v>
      </c>
      <c r="J7" t="str">
        <f>IF(AND($B$5&lt;&gt;"",$B$5&gt;=I7,$B$5&lt;I8),"2 (B)","")</f>
        <v/>
      </c>
    </row>
    <row r="8" spans="1:10" ht="18.75" x14ac:dyDescent="0.3">
      <c r="A8" s="72" t="str">
        <f>VLOOKUP(139,Lang!A1:D2628,Lang!L$1+1,FALSE)</f>
        <v>Hodnota indikátoru</v>
      </c>
      <c r="B8" s="70" t="str">
        <f>IF(B5="",VLOOKUP(31,Lang!A1:D2628,Lang!L$1+1,FALSE),CONCATENATE(J6,J7,J8,J9,J10))</f>
        <v>nezadáno</v>
      </c>
      <c r="I8">
        <v>2</v>
      </c>
      <c r="J8" t="str">
        <f>IF(AND($B$5&gt;=I8,$B$5&lt;I9),"3 (C)","")</f>
        <v/>
      </c>
    </row>
    <row r="9" spans="1:10" x14ac:dyDescent="0.25">
      <c r="I9">
        <v>3.5</v>
      </c>
      <c r="J9" t="str">
        <f>IF(AND($B$5&gt;=I9,$B$5&lt;I10),"4 (D)","")</f>
        <v/>
      </c>
    </row>
    <row r="10" spans="1:10" ht="15.75" thickBot="1" x14ac:dyDescent="0.3">
      <c r="I10" s="134">
        <v>5</v>
      </c>
      <c r="J10" t="str">
        <f>IF(B5&gt;=I10,"5 (E)","")</f>
        <v/>
      </c>
    </row>
    <row r="11" spans="1:10" ht="18" thickBot="1" x14ac:dyDescent="0.35">
      <c r="A11" s="230" t="str">
        <f>VLOOKUP(268,Lang!A$1:D$2628,Lang!L$1+1,FALSE)</f>
        <v>Hodnota pro vložení do Klimaskenu</v>
      </c>
      <c r="B11" s="231" t="str">
        <f>IF(B5="","",B5)</f>
        <v/>
      </c>
    </row>
  </sheetData>
  <sheetProtection sheet="1" objects="1" scenarios="1"/>
  <mergeCells count="1">
    <mergeCell ref="E1:F1"/>
  </mergeCells>
  <conditionalFormatting sqref="B11">
    <cfRule type="iconSet" priority="1">
      <iconSet iconSet="3Symbols2">
        <cfvo type="percent" val="0"/>
        <cfvo type="percent" val="33"/>
        <cfvo type="percent" val="67"/>
      </iconSet>
    </cfRule>
  </conditionalFormatting>
  <dataValidations count="1">
    <dataValidation type="decimal" allowBlank="1" showInputMessage="1" showErrorMessage="1" sqref="B5">
      <formula1>-9999</formula1>
      <formula2>99999</formula2>
    </dataValidation>
  </dataValidations>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
  <sheetViews>
    <sheetView showGridLines="0" workbookViewId="0">
      <selection activeCell="B5" sqref="B5"/>
    </sheetView>
  </sheetViews>
  <sheetFormatPr defaultRowHeight="15" x14ac:dyDescent="0.25"/>
  <cols>
    <col min="1" max="1" width="94.42578125" customWidth="1"/>
    <col min="2" max="2" width="15.28515625" customWidth="1"/>
    <col min="3" max="3" width="10.42578125" customWidth="1"/>
    <col min="4" max="4" width="6.5703125" customWidth="1"/>
    <col min="9" max="9" width="9.140625" hidden="1" customWidth="1"/>
    <col min="10" max="10" width="10.85546875" hidden="1" customWidth="1"/>
  </cols>
  <sheetData>
    <row r="1" spans="1:10" s="210" customFormat="1" ht="32.25" customHeight="1" x14ac:dyDescent="0.25">
      <c r="A1" s="207" t="str">
        <f>VLOOKUP(54,Lang!A1:D2628,Lang!L1+1,FALSE)</f>
        <v xml:space="preserve">B-AD1 - Tepelná ochrana obvodových stěn                                                                    </v>
      </c>
      <c r="B1" s="208"/>
      <c r="C1" s="208"/>
      <c r="E1" s="299" t="str">
        <f>VLOOKUP(129,Lang!A1:D2628,Lang!L1+1,FALSE)</f>
        <v>Navigace</v>
      </c>
      <c r="F1" s="300"/>
    </row>
    <row r="2" spans="1:10" ht="28.5" customHeight="1" thickBot="1" x14ac:dyDescent="0.3">
      <c r="A2" s="199" t="str">
        <f>VLOOKUP(130,Lang!A1:D2628,Lang!L1+1,FALSE)</f>
        <v>Metodický list indikátoru</v>
      </c>
      <c r="E2" s="100"/>
      <c r="F2" s="101"/>
    </row>
    <row r="3" spans="1:10" x14ac:dyDescent="0.25">
      <c r="A3" s="28"/>
    </row>
    <row r="4" spans="1:10" ht="15.75" thickBot="1" x14ac:dyDescent="0.3"/>
    <row r="5" spans="1:10" ht="17.25" customHeight="1" thickBot="1" x14ac:dyDescent="0.3">
      <c r="A5" s="143" t="str">
        <f>VLOOKUP(157,Lang!A1:I2628,Lang!L1+1,FALSE)</f>
        <v>Tepelná ochrana obvodových stěn - převažující tlouštka tepelně izolačního materiálu stěn (mm)</v>
      </c>
      <c r="B5" s="164"/>
    </row>
    <row r="6" spans="1:10" x14ac:dyDescent="0.25">
      <c r="I6">
        <v>0</v>
      </c>
      <c r="J6" t="str">
        <f>IF(AND($B$5&gt;=I6,$B$5&lt;I7),"5 (E)","")</f>
        <v>5 (E)</v>
      </c>
    </row>
    <row r="7" spans="1:10" x14ac:dyDescent="0.25">
      <c r="I7">
        <v>80</v>
      </c>
      <c r="J7" t="str">
        <f>IF(AND($B$5&gt;=I7,$B$5&lt;I8),"4 (D)","")</f>
        <v/>
      </c>
    </row>
    <row r="8" spans="1:10" ht="18.75" x14ac:dyDescent="0.3">
      <c r="A8" s="72" t="str">
        <f>VLOOKUP(139,Lang!A1:D2628,Lang!L$1+1,FALSE)</f>
        <v>Hodnota indikátoru</v>
      </c>
      <c r="B8" s="163" t="str">
        <f>IF(B5="",VLOOKUP(31,Lang!A1:D2628,Lang!L$1+1,FALSE),CONCATENATE(J6,J7,J8,J9,J10))</f>
        <v>nezadáno</v>
      </c>
      <c r="I8">
        <v>120</v>
      </c>
      <c r="J8" t="str">
        <f>IF(AND($B$5&gt;=I8,$B$5&lt;I9),"3 (C)","")</f>
        <v/>
      </c>
    </row>
    <row r="9" spans="1:10" x14ac:dyDescent="0.25">
      <c r="I9">
        <v>180</v>
      </c>
      <c r="J9" t="str">
        <f>IF(AND($B$5&gt;=I9,$B$5&lt;I10),"2 (B)","")</f>
        <v/>
      </c>
    </row>
    <row r="10" spans="1:10" ht="15.75" thickBot="1" x14ac:dyDescent="0.3">
      <c r="I10" s="134">
        <v>181</v>
      </c>
      <c r="J10" t="str">
        <f>IF(B5&gt;=I10,"1 (A)","")</f>
        <v/>
      </c>
    </row>
    <row r="11" spans="1:10" ht="18" thickBot="1" x14ac:dyDescent="0.35">
      <c r="A11" s="230" t="str">
        <f>VLOOKUP(268,Lang!A$1:D$2628,Lang!L$1+1,FALSE)</f>
        <v>Hodnota pro vložení do Klimaskenu</v>
      </c>
      <c r="B11" s="231" t="str">
        <f>IF(B5="","",B5)</f>
        <v/>
      </c>
    </row>
  </sheetData>
  <sheetProtection sheet="1" objects="1" scenarios="1"/>
  <mergeCells count="1">
    <mergeCell ref="E1:F1"/>
  </mergeCells>
  <conditionalFormatting sqref="B11">
    <cfRule type="iconSet" priority="1">
      <iconSet iconSet="3Symbols2">
        <cfvo type="percent" val="0"/>
        <cfvo type="percent" val="33"/>
        <cfvo type="percent" val="67"/>
      </iconSet>
    </cfRule>
  </conditionalFormatting>
  <dataValidations count="1">
    <dataValidation type="whole" allowBlank="1" showInputMessage="1" showErrorMessage="1" error="Interva: min: 0; max: 10000" sqref="B5">
      <formula1>0</formula1>
      <formula2>10000</formula2>
    </dataValidation>
  </dataValidations>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
  <sheetViews>
    <sheetView showGridLines="0" workbookViewId="0">
      <selection activeCell="B5" sqref="B5"/>
    </sheetView>
  </sheetViews>
  <sheetFormatPr defaultRowHeight="15" x14ac:dyDescent="0.25"/>
  <cols>
    <col min="1" max="1" width="100" customWidth="1"/>
    <col min="2" max="2" width="15.28515625" customWidth="1"/>
    <col min="3" max="3" width="10.42578125" customWidth="1"/>
    <col min="4" max="4" width="6.5703125" customWidth="1"/>
    <col min="9" max="10" width="9.140625" hidden="1" customWidth="1"/>
    <col min="11" max="11" width="9.140625" customWidth="1"/>
  </cols>
  <sheetData>
    <row r="1" spans="1:10" s="210" customFormat="1" ht="32.25" customHeight="1" x14ac:dyDescent="0.25">
      <c r="A1" s="207" t="str">
        <f>VLOOKUP(55,Lang!A1:D2628,Lang!L1+1,FALSE)</f>
        <v>B-AD2 - Tepelná ochrana střechy</v>
      </c>
      <c r="B1" s="208"/>
      <c r="C1" s="208"/>
      <c r="E1" s="299" t="str">
        <f>VLOOKUP(129,Lang!A1:D2628,Lang!L1+1,FALSE)</f>
        <v>Navigace</v>
      </c>
      <c r="F1" s="300"/>
    </row>
    <row r="2" spans="1:10" ht="28.5" customHeight="1" thickBot="1" x14ac:dyDescent="0.3">
      <c r="A2" s="199" t="str">
        <f>VLOOKUP(130,Lang!A1:D2628,Lang!L1+1,FALSE)</f>
        <v>Metodický list indikátoru</v>
      </c>
      <c r="E2" s="100"/>
      <c r="F2" s="101"/>
    </row>
    <row r="3" spans="1:10" x14ac:dyDescent="0.25">
      <c r="A3" s="28"/>
    </row>
    <row r="4" spans="1:10" ht="15.75" thickBot="1" x14ac:dyDescent="0.3"/>
    <row r="5" spans="1:10" s="165" customFormat="1" ht="17.25" customHeight="1" thickBot="1" x14ac:dyDescent="0.3">
      <c r="A5" s="143" t="str">
        <f>VLOOKUP(158,Lang!A1:I2628,Lang!L1+1,FALSE)</f>
        <v>Tepelná ochrana střechy - převažující tlouštka tepelně izolačního materiálu střechy (mm)</v>
      </c>
      <c r="B5" s="166"/>
    </row>
    <row r="6" spans="1:10" x14ac:dyDescent="0.25">
      <c r="B6" s="159"/>
      <c r="I6">
        <v>0</v>
      </c>
      <c r="J6" t="str">
        <f>IF(AND($B$5&gt;=I6,$B$5&lt;I7),"5 (E)","")</f>
        <v>5 (E)</v>
      </c>
    </row>
    <row r="7" spans="1:10" x14ac:dyDescent="0.25">
      <c r="B7" s="159"/>
      <c r="I7">
        <v>100</v>
      </c>
      <c r="J7" t="str">
        <f>IF(AND($B$5&gt;=I7,$B$5&lt;I8),"4 (D)","")</f>
        <v/>
      </c>
    </row>
    <row r="8" spans="1:10" ht="18.75" x14ac:dyDescent="0.3">
      <c r="A8" s="72" t="str">
        <f>VLOOKUP(139,Lang!A1:D2628,Lang!L$1+1,FALSE)</f>
        <v>Hodnota indikátoru</v>
      </c>
      <c r="B8" s="163" t="str">
        <f>IF(B5="",VLOOKUP(31,Lang!A1:D2628,Lang!L$1+1,FALSE),CONCATENATE(J6,J7,J8,J9,J10))</f>
        <v>nezadáno</v>
      </c>
      <c r="I8">
        <v>160</v>
      </c>
      <c r="J8" t="str">
        <f>IF(AND($B$5&gt;=I8,$B$5&lt;I9),"3 (C)","")</f>
        <v/>
      </c>
    </row>
    <row r="9" spans="1:10" x14ac:dyDescent="0.25">
      <c r="B9" s="159"/>
      <c r="I9">
        <v>240</v>
      </c>
      <c r="J9" t="str">
        <f>IF(AND($B$5&gt;=I9,$B$5&lt;I10),"2 (B)","")</f>
        <v/>
      </c>
    </row>
    <row r="10" spans="1:10" ht="15.75" thickBot="1" x14ac:dyDescent="0.3">
      <c r="I10" s="134">
        <v>241</v>
      </c>
      <c r="J10" t="str">
        <f>IF(B5&gt;=I10,"1 (A)","")</f>
        <v/>
      </c>
    </row>
    <row r="11" spans="1:10" ht="18" thickBot="1" x14ac:dyDescent="0.35">
      <c r="A11" s="230" t="str">
        <f>VLOOKUP(268,Lang!A$1:D$2628,Lang!L$1+1,FALSE)</f>
        <v>Hodnota pro vložení do Klimaskenu</v>
      </c>
      <c r="B11" s="231" t="str">
        <f>IF(B5="","",B5)</f>
        <v/>
      </c>
    </row>
  </sheetData>
  <sheetProtection sheet="1" objects="1" scenarios="1"/>
  <mergeCells count="1">
    <mergeCell ref="E1:F1"/>
  </mergeCells>
  <conditionalFormatting sqref="B11">
    <cfRule type="iconSet" priority="1">
      <iconSet iconSet="3Symbols2">
        <cfvo type="percent" val="0"/>
        <cfvo type="percent" val="33"/>
        <cfvo type="percent" val="67"/>
      </iconSet>
    </cfRule>
  </conditionalFormatting>
  <dataValidations count="1">
    <dataValidation type="whole" allowBlank="1" showInputMessage="1" showErrorMessage="1" error="Interval: min 0; max 100000" sqref="B5">
      <formula1>0</formula1>
      <formula2>100000</formula2>
    </dataValidation>
  </dataValidation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1"/>
  <sheetViews>
    <sheetView showGridLines="0" workbookViewId="0">
      <selection activeCell="B5" sqref="B5"/>
    </sheetView>
  </sheetViews>
  <sheetFormatPr defaultRowHeight="15" x14ac:dyDescent="0.25"/>
  <cols>
    <col min="1" max="1" width="72.42578125" customWidth="1"/>
    <col min="2" max="2" width="50.85546875" customWidth="1"/>
    <col min="3" max="3" width="15.85546875" customWidth="1"/>
    <col min="4" max="4" width="13.85546875" customWidth="1"/>
    <col min="5" max="5" width="8.5703125" customWidth="1"/>
    <col min="6" max="6" width="9.7109375" customWidth="1"/>
    <col min="7" max="7" width="3.5703125" customWidth="1"/>
    <col min="8" max="8" width="14.5703125" hidden="1" customWidth="1"/>
    <col min="9" max="9" width="95.85546875" hidden="1" customWidth="1"/>
    <col min="10" max="10" width="11.85546875" hidden="1" customWidth="1"/>
    <col min="11" max="11" width="11.42578125" hidden="1" customWidth="1"/>
    <col min="12" max="12" width="11.5703125" hidden="1" customWidth="1"/>
    <col min="13" max="13" width="9.28515625" hidden="1" customWidth="1"/>
    <col min="14" max="21" width="9.140625" customWidth="1"/>
  </cols>
  <sheetData>
    <row r="1" spans="1:13" s="208" customFormat="1" ht="32.25" customHeight="1" x14ac:dyDescent="0.25">
      <c r="A1" s="207" t="str">
        <f>VLOOKUP(56,Lang!A1:D2628,Lang!L1+1,FALSE)</f>
        <v>B-AD3 - Transparentní konstrukce</v>
      </c>
      <c r="E1" s="297" t="str">
        <f>VLOOKUP(129,Lang!A1:D2628,Lang!L1+1,FALSE)</f>
        <v>Navigace</v>
      </c>
      <c r="F1" s="298"/>
    </row>
    <row r="2" spans="1:13" ht="28.5" customHeight="1" thickBot="1" x14ac:dyDescent="0.3">
      <c r="A2" s="199" t="str">
        <f>VLOOKUP(130,Lang!A1:D2628,Lang!L1+1,FALSE)</f>
        <v>Metodický list indikátoru</v>
      </c>
      <c r="E2" s="100"/>
      <c r="F2" s="101"/>
    </row>
    <row r="3" spans="1:13" x14ac:dyDescent="0.25">
      <c r="A3" s="1"/>
      <c r="J3" t="s">
        <v>137</v>
      </c>
      <c r="K3" t="s">
        <v>138</v>
      </c>
      <c r="L3" t="s">
        <v>139</v>
      </c>
      <c r="M3" t="s">
        <v>140</v>
      </c>
    </row>
    <row r="4" spans="1:13" x14ac:dyDescent="0.25">
      <c r="A4" t="str">
        <f>VLOOKUP(159,Lang!A1:I2628,Lang!L1+1,FALSE)</f>
        <v>Budova má pouze jeden typ oken</v>
      </c>
      <c r="I4" t="str">
        <f>VLOOKUP(161,Lang!A1:I2628,Lang!L1+1,FALSE)</f>
        <v>Původní okna (Uw  ≥ 2 W/m².K)</v>
      </c>
      <c r="J4">
        <v>4</v>
      </c>
      <c r="K4">
        <v>5</v>
      </c>
      <c r="L4">
        <v>2</v>
      </c>
      <c r="M4">
        <v>5</v>
      </c>
    </row>
    <row r="5" spans="1:13" ht="14.25" customHeight="1" x14ac:dyDescent="0.25">
      <c r="A5" s="213" t="str">
        <f>VLOOKUP(160,Lang!A1:I2628,Lang!L1+1,FALSE)</f>
        <v>Typ oken v budově (vyberte)</v>
      </c>
      <c r="B5" s="191"/>
      <c r="I5" t="str">
        <f>VLOOKUP(162,Lang!A1:I2628,Lang!L1+1,FALSE)</f>
        <v>Okna s dvojitým zasklením (Uw ≤  2 W/m².K)</v>
      </c>
      <c r="J5">
        <v>3</v>
      </c>
      <c r="K5">
        <v>4</v>
      </c>
      <c r="L5">
        <v>2</v>
      </c>
      <c r="M5">
        <v>4</v>
      </c>
    </row>
    <row r="6" spans="1:13" s="139" customFormat="1" ht="18.75" customHeight="1" x14ac:dyDescent="0.25">
      <c r="A6" s="139" t="str">
        <f>VLOOKUP(164,Lang!A1:I2628,Lang!L1+1,FALSE)</f>
        <v>Podíl plochy oken orientovaných na:</v>
      </c>
      <c r="C6" s="167" t="str">
        <f>IF(C11="OK","Vypočtené skóre","")</f>
        <v/>
      </c>
      <c r="I6" s="139" t="str">
        <f>VLOOKUP(163,Lang!A1:I2628,Lang!L1+1,FALSE)</f>
        <v>Okna s trojitým izolačním zasklením (Uw ≤ 1 W/m².K)</v>
      </c>
      <c r="J6" s="139">
        <v>2</v>
      </c>
      <c r="K6" s="139">
        <v>3</v>
      </c>
      <c r="L6" s="139">
        <v>1</v>
      </c>
      <c r="M6" s="139">
        <v>3</v>
      </c>
    </row>
    <row r="7" spans="1:13" x14ac:dyDescent="0.25">
      <c r="A7" s="214" t="str">
        <f>VLOOKUP(165,Lang!A1:I2628,Lang!L1+1,FALSE)</f>
        <v>východ</v>
      </c>
      <c r="B7" s="88"/>
      <c r="C7" s="85" t="str">
        <f>IF(OR(ISNA(VLOOKUP($B$5,I4:M6,2)),C$11&lt;&gt;"OK"),"",VLOOKUP($B$5,I4:M6,2,FALSE)*B7)</f>
        <v/>
      </c>
    </row>
    <row r="8" spans="1:13" x14ac:dyDescent="0.25">
      <c r="A8" s="214" t="str">
        <f>VLOOKUP(166,Lang!A1:I2628,Lang!L1+1,FALSE)</f>
        <v>západ</v>
      </c>
      <c r="B8" s="88"/>
      <c r="C8" s="85" t="str">
        <f>IF(OR(ISNA(VLOOKUP($B$5,I4:M6,3)),C$11&lt;&gt;"OK"),"",VLOOKUP($B$5,I4:M6,3,FALSE)*B8)</f>
        <v/>
      </c>
    </row>
    <row r="9" spans="1:13" ht="17.25" customHeight="1" x14ac:dyDescent="0.25">
      <c r="A9" s="214" t="str">
        <f>VLOOKUP(167,Lang!A1:I2628,Lang!L1+1,FALSE)</f>
        <v>sever</v>
      </c>
      <c r="B9" s="88"/>
      <c r="C9" s="85" t="str">
        <f>IF(OR(ISNA(VLOOKUP($B$5,I4:M6,4)),C$11&lt;&gt;"OK"),"",VLOOKUP($B$5,I4:M6,4,FALSE)*B9)</f>
        <v/>
      </c>
    </row>
    <row r="10" spans="1:13" x14ac:dyDescent="0.25">
      <c r="A10" s="214" t="str">
        <f>VLOOKUP(168,Lang!A1:I2628,Lang!L1+1,FALSE)</f>
        <v>jih</v>
      </c>
      <c r="B10" s="88"/>
      <c r="C10" s="85" t="str">
        <f>IF(OR(ISNA(VLOOKUP($B$5,I4:M6,5)),C$11&lt;&gt;"OK"),"",VLOOKUP($B$5,I4:M6,5)*B10)</f>
        <v/>
      </c>
      <c r="H10" s="58"/>
    </row>
    <row r="11" spans="1:13" x14ac:dyDescent="0.25">
      <c r="A11" s="57" t="str">
        <f>VLOOKUP(169,Lang!A1:I2628,Lang!L1+1,FALSE)</f>
        <v>Celkem</v>
      </c>
      <c r="B11" s="58">
        <f>SUM(B7:B10)</f>
        <v>0</v>
      </c>
      <c r="C11" s="190" t="str">
        <f>IF(OR(B11&lt;&gt;1,B5=""),VLOOKUP(170,Lang!A1:I2628,Lang!L1+1,FALSE),"OK")</f>
        <v>Musí být vybrán typ oken a součet podílů být 100 %!</v>
      </c>
    </row>
    <row r="12" spans="1:13" x14ac:dyDescent="0.25">
      <c r="I12">
        <f>SUM(C7:C10)</f>
        <v>0</v>
      </c>
      <c r="K12">
        <f>IF(I$12=5,5,0)</f>
        <v>0</v>
      </c>
      <c r="L12" t="s">
        <v>2</v>
      </c>
    </row>
    <row r="13" spans="1:13" x14ac:dyDescent="0.25">
      <c r="K13">
        <f>IF(AND(K12=0,I$12&gt;4),4,0)</f>
        <v>0</v>
      </c>
      <c r="L13" t="s">
        <v>3</v>
      </c>
    </row>
    <row r="14" spans="1:13" ht="19.5" customHeight="1" x14ac:dyDescent="0.25">
      <c r="A14" s="168" t="str">
        <f>VLOOKUP(139,Lang!A1:D2628,Lang!L$1+1,FALSE)</f>
        <v>Hodnota indikátoru</v>
      </c>
      <c r="B14" s="69" t="str">
        <f>IF(C11="OK",VLOOKUP(K17,K12:L16,2,FALSE),VLOOKUP(41,Lang!A1:D2628,Lang!L$1+1,FALSE))</f>
        <v>neúplné vstupy</v>
      </c>
      <c r="C14" s="233" t="str">
        <f>IF(C11="OK",+I12,VLOOKUP(41,Lang!A1:D2628,Lang!L$1+1,FALSE))</f>
        <v>neúplné vstupy</v>
      </c>
      <c r="K14">
        <f>IF(AND(SUM(K$12:K13)=0,I$12&gt;3),3,0)</f>
        <v>0</v>
      </c>
      <c r="L14" t="s">
        <v>4</v>
      </c>
    </row>
    <row r="15" spans="1:13" x14ac:dyDescent="0.25">
      <c r="J15" s="62"/>
      <c r="K15">
        <f>IF(AND(SUM(K$12:K14)=0,I$12&gt;2),2,0)</f>
        <v>0</v>
      </c>
      <c r="L15" t="s">
        <v>5</v>
      </c>
    </row>
    <row r="16" spans="1:13" ht="15.75" thickBot="1" x14ac:dyDescent="0.3">
      <c r="K16">
        <f>IF(AND(SUM(K$12:K15)=0,I$12&gt;1),1,0)</f>
        <v>0</v>
      </c>
      <c r="L16" t="s">
        <v>6</v>
      </c>
    </row>
    <row r="17" spans="1:11" ht="18" thickBot="1" x14ac:dyDescent="0.35">
      <c r="A17" s="230" t="str">
        <f>VLOOKUP(268,Lang!A$1:D$2628,Lang!L$1+1,FALSE)</f>
        <v>Hodnota pro vložení do Klimaskenu</v>
      </c>
      <c r="B17" s="234" t="str">
        <f>IF(C11&lt;&gt;"OK","",C14)</f>
        <v/>
      </c>
      <c r="K17">
        <f>MAX(K12:K16)</f>
        <v>0</v>
      </c>
    </row>
    <row r="21" spans="1:11" x14ac:dyDescent="0.25">
      <c r="A21" s="1"/>
    </row>
  </sheetData>
  <sheetProtection sheet="1" objects="1" scenarios="1"/>
  <mergeCells count="1">
    <mergeCell ref="E1:F1"/>
  </mergeCells>
  <conditionalFormatting sqref="B17">
    <cfRule type="iconSet" priority="1">
      <iconSet iconSet="3Symbols2">
        <cfvo type="percent" val="0"/>
        <cfvo type="percent" val="33"/>
        <cfvo type="percent" val="67"/>
      </iconSet>
    </cfRule>
  </conditionalFormatting>
  <dataValidations count="2">
    <dataValidation type="list" allowBlank="1" showInputMessage="1" showErrorMessage="1" sqref="B5">
      <formula1>$I$4:$I$6</formula1>
    </dataValidation>
    <dataValidation type="decimal" allowBlank="1" showInputMessage="1" showErrorMessage="1" errorTitle="Chybná hodnota" error="Podíl oken může být v rozmezí mez 0 % a 100 %" sqref="B7:B10">
      <formula1>0</formula1>
      <formula2>1</formula2>
    </dataValidation>
  </dataValidations>
  <pageMargins left="0.7" right="0.7" top="0.78740157499999996" bottom="0.78740157499999996"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6"/>
  <sheetViews>
    <sheetView showGridLines="0" workbookViewId="0">
      <selection activeCell="C10" sqref="C10"/>
    </sheetView>
  </sheetViews>
  <sheetFormatPr defaultRowHeight="15" x14ac:dyDescent="0.25"/>
  <cols>
    <col min="1" max="1" width="72.28515625" style="29" customWidth="1"/>
    <col min="2" max="2" width="47.85546875" style="29" customWidth="1"/>
    <col min="3" max="3" width="38.85546875" style="29" customWidth="1"/>
    <col min="4" max="4" width="14.85546875" style="29" hidden="1" customWidth="1"/>
    <col min="5" max="5" width="11.85546875" style="29" customWidth="1"/>
    <col min="6" max="6" width="9.140625" customWidth="1"/>
    <col min="7" max="7" width="15.85546875" customWidth="1"/>
    <col min="8" max="8" width="9.140625" hidden="1" customWidth="1"/>
    <col min="9" max="9" width="92.140625" hidden="1" customWidth="1"/>
    <col min="10" max="10" width="11.85546875" hidden="1" customWidth="1"/>
    <col min="11" max="11" width="11.42578125" hidden="1" customWidth="1"/>
    <col min="12" max="12" width="11.5703125" hidden="1" customWidth="1"/>
    <col min="13" max="13" width="9.28515625" hidden="1" customWidth="1"/>
    <col min="14" max="15" width="9.140625" hidden="1" customWidth="1"/>
    <col min="16" max="20" width="9.140625" customWidth="1"/>
  </cols>
  <sheetData>
    <row r="1" spans="1:15" s="208" customFormat="1" ht="32.25" customHeight="1" x14ac:dyDescent="0.25">
      <c r="A1" s="207" t="str">
        <f>VLOOKUP(57,Lang!A1:D2628,Lang!L1+1,FALSE)</f>
        <v>B-AD4 - Stínící konstrukce a stínění konstrukcemi</v>
      </c>
      <c r="E1" s="297" t="str">
        <f>VLOOKUP(129,Lang!A1:D2628,Lang!L1+1,FALSE)</f>
        <v>Navigace</v>
      </c>
      <c r="F1" s="298"/>
      <c r="I1" s="208" t="str">
        <f>+'B-AD3'!C11</f>
        <v>Musí být vybrán typ oken a součet podílů být 100 %!</v>
      </c>
    </row>
    <row r="2" spans="1:15" ht="28.5" customHeight="1" thickBot="1" x14ac:dyDescent="0.3">
      <c r="A2" s="199" t="str">
        <f>VLOOKUP(130,Lang!A1:D2628,Lang!L1+1,FALSE)</f>
        <v>Metodický list indikátoru</v>
      </c>
      <c r="B2"/>
      <c r="C2"/>
      <c r="D2"/>
      <c r="E2" s="100"/>
      <c r="F2" s="101"/>
      <c r="I2" t="str">
        <f>IF(AND(I1="OK",K17=4,B12=""),"OK","")</f>
        <v/>
      </c>
      <c r="J2" t="str">
        <f>VLOOKUP(165,Lang!A1:I2628,Lang!L1+1,FALSE)</f>
        <v>východ</v>
      </c>
      <c r="K2" t="str">
        <f>VLOOKUP(166,Lang!A1:I2628,Lang!L1+1,FALSE)</f>
        <v>západ</v>
      </c>
      <c r="L2" t="str">
        <f>VLOOKUP(167,Lang!A1:I2628,Lang!L1+1,FALSE)</f>
        <v>sever</v>
      </c>
      <c r="M2" t="str">
        <f>VLOOKUP(168,Lang!A1:I2628,Lang!L1+1,FALSE)</f>
        <v>jih</v>
      </c>
    </row>
    <row r="3" spans="1:15" s="139" customFormat="1" ht="45" customHeight="1" x14ac:dyDescent="0.25">
      <c r="A3" s="215" t="str">
        <f>VLOOKUP(171,Lang!A1:I2628,Lang!L1+1,FALSE)</f>
        <v>Budova má pouze jeden typ oken (hodnoty oken se přebírají z B-AD3). Správné vyplnění B-AD3 je podmínkou pro výpočet této tabulky</v>
      </c>
    </row>
    <row r="4" spans="1:15" x14ac:dyDescent="0.25">
      <c r="A4"/>
      <c r="B4"/>
      <c r="C4"/>
      <c r="D4"/>
      <c r="E4"/>
      <c r="I4" t="str">
        <f>VLOOKUP(161,Lang!A1:I2628,Lang!L1+1,FALSE)</f>
        <v>Původní okna (Uw  ≥ 2 W/m².K)</v>
      </c>
      <c r="J4">
        <v>4</v>
      </c>
      <c r="K4">
        <v>5</v>
      </c>
      <c r="L4">
        <v>2</v>
      </c>
      <c r="M4">
        <v>5</v>
      </c>
      <c r="O4">
        <f>IF(AND(C7="",B7&gt;0),1,0)</f>
        <v>0</v>
      </c>
    </row>
    <row r="5" spans="1:15" x14ac:dyDescent="0.25">
      <c r="A5" s="1" t="str">
        <f>VLOOKUP(172,Lang!A1:I2628,Lang!L1+1,FALSE)</f>
        <v>Typ oken v budově z B-AD3:</v>
      </c>
      <c r="B5" s="52" t="str">
        <f>IF(CONCATENATE('B-AD3'!B5)="",VLOOKUP(266,Lang!A1:I2628,Lang!L1+1,FALSE),'B-AD3'!B5)</f>
        <v>Nezadán typ oken v B-AD3</v>
      </c>
      <c r="C5"/>
      <c r="D5" s="93"/>
      <c r="E5" s="93"/>
      <c r="F5" s="93"/>
      <c r="I5" t="str">
        <f>VLOOKUP(162,Lang!A1:I2628,Lang!L1+1,FALSE)</f>
        <v>Okna s dvojitým zasklením (Uw ≤  2 W/m².K)</v>
      </c>
      <c r="J5">
        <v>3</v>
      </c>
      <c r="K5">
        <v>4</v>
      </c>
      <c r="L5">
        <v>2</v>
      </c>
      <c r="M5">
        <v>4</v>
      </c>
      <c r="O5">
        <f>IF(AND(C8="",B8&gt;0),1,0)</f>
        <v>0</v>
      </c>
    </row>
    <row r="6" spans="1:15" ht="43.5" customHeight="1" x14ac:dyDescent="0.25">
      <c r="A6" t="str">
        <f>VLOOKUP(173,Lang!A1:I2628,Lang!L1+1,FALSE)</f>
        <v>Podíl oken orientovaných na:</v>
      </c>
      <c r="B6"/>
      <c r="C6" s="45" t="str">
        <f>VLOOKUP(174,Lang!A1:I2628,Lang!L1+1,FALSE)</f>
        <v>z toho podíl nezastíněných oken:</v>
      </c>
      <c r="D6" s="91" t="str">
        <f>IF(D11="OK","Vypočtené skóre","")</f>
        <v/>
      </c>
      <c r="E6" s="92"/>
      <c r="F6" s="92"/>
      <c r="G6" s="94"/>
      <c r="I6" s="169" t="str">
        <f>VLOOKUP(163,Lang!A1:I2628,Lang!L1+1,FALSE)</f>
        <v>Okna s trojitým izolačním zasklením (Uw ≤ 1 W/m².K)</v>
      </c>
      <c r="J6">
        <v>2</v>
      </c>
      <c r="K6">
        <v>3</v>
      </c>
      <c r="L6">
        <v>1</v>
      </c>
      <c r="M6">
        <v>3</v>
      </c>
      <c r="O6">
        <v>0</v>
      </c>
    </row>
    <row r="7" spans="1:15" x14ac:dyDescent="0.25">
      <c r="A7" s="56" t="str">
        <f>VLOOKUP(165,Lang!A1:I2628,Lang!L1+1,FALSE)</f>
        <v>východ</v>
      </c>
      <c r="B7" s="63">
        <f>+'B-AD3'!B7</f>
        <v>0</v>
      </c>
      <c r="C7" s="89"/>
      <c r="D7" s="216" t="str">
        <f>IF(OR(ISNA(VLOOKUP($B$5,I4:M6,2)),I$1&lt;&gt;"OK"),"",VLOOKUP($B$5,I4:M6,2,FALSE)*B7*C7)</f>
        <v/>
      </c>
      <c r="F7" s="95" t="str">
        <f>IF(AND(B7&gt;0,ISBLANK(C7)),CONCATENATE(A7,", "),"")</f>
        <v/>
      </c>
      <c r="G7" s="95"/>
      <c r="H7" s="216">
        <f>IF(AND(B7&gt;0,ISBLANK(C7)),1,IF(AND(B7=0,C7&gt;0),1,0))</f>
        <v>0</v>
      </c>
      <c r="I7">
        <f>IF(ISBLANK(C7),1,0)</f>
        <v>1</v>
      </c>
      <c r="O7">
        <f>IF(AND(C10="",B10&gt;0),1,0)</f>
        <v>0</v>
      </c>
    </row>
    <row r="8" spans="1:15" x14ac:dyDescent="0.25">
      <c r="A8" s="56" t="str">
        <f>VLOOKUP(166,Lang!A1:I2628,Lang!L1+1,FALSE)</f>
        <v>západ</v>
      </c>
      <c r="B8" s="63">
        <f>+'B-AD3'!B8</f>
        <v>0</v>
      </c>
      <c r="C8" s="89"/>
      <c r="D8" s="216" t="str">
        <f>IF(OR(ISNA(VLOOKUP($B$5,I4:M6,3)),I$1&lt;&gt;"OK"),"",VLOOKUP($B$5,I4:M6,3,FALSE)*B8*C8)</f>
        <v/>
      </c>
      <c r="F8" s="95" t="str">
        <f>IF(AND(B8&gt;0,ISBLANK(C8)),CONCATENATE(A8,", "),"")</f>
        <v/>
      </c>
      <c r="G8" s="95"/>
      <c r="H8" s="216">
        <f>IF(AND(B8&gt;0,ISBLANK(C8)),1,IF(AND(B8=0,C8&gt;0),1,0))</f>
        <v>0</v>
      </c>
      <c r="I8">
        <f t="shared" ref="I8:I10" si="0">IF(ISBLANK(C8),1,0)</f>
        <v>1</v>
      </c>
    </row>
    <row r="9" spans="1:15" x14ac:dyDescent="0.25">
      <c r="A9" s="56" t="str">
        <f>VLOOKUP(167,Lang!A1:I2628,Lang!L1+1,FALSE)</f>
        <v>sever</v>
      </c>
      <c r="B9" s="63">
        <f>+'B-AD3'!B9</f>
        <v>0</v>
      </c>
      <c r="C9" s="86"/>
      <c r="D9" s="216" t="str">
        <f>IF(OR(ISNA(VLOOKUP($B$5,I4:M6,4)),I$1&lt;&gt;"OK"),"",VLOOKUP($B$5,I4:M6,4,FALSE)*B9*C9)</f>
        <v/>
      </c>
      <c r="F9" s="95"/>
      <c r="G9" s="95"/>
      <c r="H9" s="216"/>
    </row>
    <row r="10" spans="1:15" x14ac:dyDescent="0.25">
      <c r="A10" s="56" t="str">
        <f>VLOOKUP(168,Lang!A1:I2628,Lang!L1+1,FALSE)</f>
        <v>jih</v>
      </c>
      <c r="B10" s="63">
        <f>+'B-AD3'!B10</f>
        <v>0</v>
      </c>
      <c r="C10" s="89"/>
      <c r="D10" s="216" t="str">
        <f>IF(OR(ISNA(VLOOKUP($B$5,I4:M6,5)),I$1&lt;&gt;"OK"),"",VLOOKUP($B$5,I4:M6,5)*B10)</f>
        <v/>
      </c>
      <c r="F10" s="95" t="str">
        <f>IF(AND(B10&gt;0,ISBLANK(C10)),CONCATENATE(A10," "),"")</f>
        <v/>
      </c>
      <c r="G10" s="95"/>
      <c r="H10" s="216">
        <f>IF(AND(B10&gt;0,ISBLANK(C10)),1,IF(AND(B10=0,C10&gt;0),1,0))</f>
        <v>0</v>
      </c>
      <c r="I10">
        <f t="shared" si="0"/>
        <v>1</v>
      </c>
    </row>
    <row r="11" spans="1:15" x14ac:dyDescent="0.25">
      <c r="A11" s="57" t="str">
        <f>VLOOKUP(169,Lang!A1:I2628,Lang!L1+1,FALSE)</f>
        <v>Celkem</v>
      </c>
      <c r="B11" s="58">
        <f>SUM(B7:B10)</f>
        <v>0</v>
      </c>
      <c r="D11" s="96"/>
      <c r="E11" s="95"/>
      <c r="F11" s="95"/>
      <c r="G11" s="95"/>
      <c r="H11" s="59"/>
    </row>
    <row r="12" spans="1:15" x14ac:dyDescent="0.25">
      <c r="A12"/>
      <c r="B12" s="60" t="str">
        <f>IF(SUM(H7:H10)&gt;0,VLOOKUP(264,Lang!A1:I2628,Lang!L1+1,FALSE),"")</f>
        <v/>
      </c>
      <c r="C12"/>
      <c r="D12" s="60" t="str">
        <f>IF(SUM(O4:O7)&gt;0,CONCATENATE(VLOOKUP(265,Lang!A1:I2628,Lang!L1+1,FALSE)," ",F7,F8,F10),"")</f>
        <v/>
      </c>
      <c r="E12"/>
      <c r="H12" s="59"/>
      <c r="I12">
        <v>3.75</v>
      </c>
      <c r="J12">
        <v>6</v>
      </c>
      <c r="K12" t="e">
        <f>IF(AND(SUM(D$7:D$8)+D$10&gt;=I12,SUM(D$7:D$8)+D$10&lt;J12),5,"")</f>
        <v>#VALUE!</v>
      </c>
      <c r="L12" t="s">
        <v>2</v>
      </c>
    </row>
    <row r="13" spans="1:15" x14ac:dyDescent="0.25">
      <c r="A13"/>
      <c r="B13"/>
      <c r="C13"/>
      <c r="D13"/>
      <c r="E13"/>
      <c r="H13" s="59"/>
      <c r="I13">
        <v>2.75</v>
      </c>
      <c r="J13">
        <v>3.75</v>
      </c>
      <c r="K13" t="e">
        <f>IF(AND(SUM(D$7:D$8)+D10&gt;=I13,SUM(D$7:D$8)+D10&lt;J13),5,"")</f>
        <v>#VALUE!</v>
      </c>
      <c r="L13" t="s">
        <v>3</v>
      </c>
    </row>
    <row r="14" spans="1:15" ht="18.75" x14ac:dyDescent="0.25">
      <c r="A14" s="71" t="str">
        <f>VLOOKUP(139,Lang!A1:D2628,Lang!L$1+1,FALSE)</f>
        <v>Hodnota indikátoru</v>
      </c>
      <c r="B14" s="69" t="str">
        <f>IF(AND(I1="OK",K17=4,B12=""),VLOOKUP(5,K12:L16,2,FALSE),VLOOKUP(121,Lang!A1:D2628,Lang!L1+1,FALSE))</f>
        <v>chybné/neúplné vstupy</v>
      </c>
      <c r="C14" s="235" t="str">
        <f>IF(AND(I1="OK",K17=4,B12=""),SUM(D7:D9),VLOOKUP(121,Lang!A1:D2628,Lang!L1+1,FALSE))</f>
        <v>chybné/neúplné vstupy</v>
      </c>
      <c r="D14"/>
      <c r="E14"/>
      <c r="H14" s="59"/>
      <c r="I14">
        <v>1.75</v>
      </c>
      <c r="J14">
        <v>2.75</v>
      </c>
      <c r="K14" t="e">
        <f>IF(AND(SUM(D$7:D$8)+D10&gt;=I14,SUM(D$7:D$8)+D10&lt;J14),5,"")</f>
        <v>#VALUE!</v>
      </c>
      <c r="L14" t="s">
        <v>4</v>
      </c>
    </row>
    <row r="15" spans="1:15" x14ac:dyDescent="0.25">
      <c r="A15"/>
      <c r="B15"/>
      <c r="C15"/>
      <c r="D15"/>
      <c r="E15"/>
      <c r="I15">
        <v>0.75</v>
      </c>
      <c r="J15" s="64">
        <v>1.75</v>
      </c>
      <c r="K15" t="str">
        <f>IF(AND(SUM(D$7:D$10)&gt;=I15,SUM(D$7:D$10)&lt;J15),5,"")</f>
        <v/>
      </c>
      <c r="L15" t="s">
        <v>5</v>
      </c>
    </row>
    <row r="16" spans="1:15" ht="15.75" thickBot="1" x14ac:dyDescent="0.3">
      <c r="A16"/>
      <c r="B16"/>
      <c r="C16"/>
      <c r="D16"/>
      <c r="E16"/>
      <c r="I16">
        <v>0</v>
      </c>
      <c r="J16">
        <v>0.74999990000000005</v>
      </c>
      <c r="K16" t="e">
        <f>IF(AND(SUM(D$7:D$8)+D10&gt;=I16,SUM(D$7:D$8)+D10&lt;J16),5,"")</f>
        <v>#VALUE!</v>
      </c>
      <c r="L16" t="s">
        <v>6</v>
      </c>
    </row>
    <row r="17" spans="1:11" ht="18" thickBot="1" x14ac:dyDescent="0.35">
      <c r="A17" s="230" t="str">
        <f>VLOOKUP(268,Lang!A$1:D$2628,Lang!L$1+1,FALSE)</f>
        <v>Hodnota pro vložení do Klimaskenu</v>
      </c>
      <c r="B17" s="234" t="str">
        <f>IF(I2="OK",C14,"")</f>
        <v/>
      </c>
      <c r="C17"/>
      <c r="D17"/>
      <c r="E17"/>
      <c r="K17">
        <f>COUNTBLANK(K12:K16)</f>
        <v>1</v>
      </c>
    </row>
    <row r="18" spans="1:11" x14ac:dyDescent="0.25">
      <c r="A18"/>
      <c r="B18"/>
      <c r="C18"/>
      <c r="D18"/>
      <c r="E18"/>
    </row>
    <row r="19" spans="1:11" x14ac:dyDescent="0.25">
      <c r="A19"/>
      <c r="B19"/>
      <c r="C19"/>
      <c r="D19"/>
      <c r="E19"/>
    </row>
    <row r="20" spans="1:11" x14ac:dyDescent="0.25">
      <c r="A20"/>
      <c r="B20"/>
      <c r="C20"/>
      <c r="D20"/>
      <c r="E20"/>
    </row>
    <row r="21" spans="1:11" x14ac:dyDescent="0.25">
      <c r="A21" s="1"/>
      <c r="B21"/>
      <c r="C21"/>
      <c r="D21"/>
      <c r="E21"/>
    </row>
    <row r="22" spans="1:11" x14ac:dyDescent="0.25">
      <c r="A22" s="1"/>
      <c r="B22"/>
      <c r="C22"/>
      <c r="D22"/>
      <c r="E22"/>
    </row>
    <row r="23" spans="1:11" x14ac:dyDescent="0.25">
      <c r="A23" s="1"/>
      <c r="B23"/>
      <c r="C23"/>
      <c r="D23"/>
      <c r="E23"/>
    </row>
    <row r="24" spans="1:11" x14ac:dyDescent="0.25">
      <c r="A24" s="1"/>
      <c r="B24"/>
      <c r="C24"/>
      <c r="D24"/>
      <c r="E24"/>
    </row>
    <row r="25" spans="1:11" x14ac:dyDescent="0.25">
      <c r="A25" s="1"/>
      <c r="B25"/>
      <c r="C25"/>
      <c r="D25"/>
      <c r="E25"/>
    </row>
    <row r="26" spans="1:11" x14ac:dyDescent="0.25">
      <c r="A26" s="1"/>
      <c r="B26"/>
      <c r="C26"/>
      <c r="D26"/>
      <c r="E26"/>
    </row>
  </sheetData>
  <sheetProtection sheet="1" objects="1" scenarios="1"/>
  <mergeCells count="1">
    <mergeCell ref="E1:F1"/>
  </mergeCells>
  <conditionalFormatting sqref="D11">
    <cfRule type="expression" dxfId="31" priority="2">
      <formula>$D$7="OK"</formula>
    </cfRule>
  </conditionalFormatting>
  <conditionalFormatting sqref="B17">
    <cfRule type="iconSet" priority="1">
      <iconSet iconSet="3Symbols2">
        <cfvo type="percent" val="0"/>
        <cfvo type="percent" val="33"/>
        <cfvo type="percent" val="67"/>
      </iconSet>
    </cfRule>
  </conditionalFormatting>
  <dataValidations count="2">
    <dataValidation type="decimal" allowBlank="1" showInputMessage="1" showErrorMessage="1" errorTitle="Chybná hodnota" error="Podíl oken může být v rozmezí mez 0 % a 100 %" sqref="B7:B10">
      <formula1>0</formula1>
      <formula2>1</formula2>
    </dataValidation>
    <dataValidation type="decimal" allowBlank="1" showInputMessage="1" showErrorMessage="1" error="Podíl nezastíněných oken může být mezi 0 % a 100 %" sqref="C7:C8 C10">
      <formula1>0</formula1>
      <formula2>1</formula2>
    </dataValidation>
  </dataValidations>
  <pageMargins left="0.7" right="0.7" top="0.78740157499999996" bottom="0.78740157499999996"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
  <sheetViews>
    <sheetView showGridLines="0" workbookViewId="0">
      <selection activeCell="B5" sqref="B5"/>
    </sheetView>
  </sheetViews>
  <sheetFormatPr defaultRowHeight="15" x14ac:dyDescent="0.25"/>
  <cols>
    <col min="1" max="1" width="104.42578125" customWidth="1"/>
    <col min="2" max="2" width="15.28515625" customWidth="1"/>
    <col min="3" max="3" width="10.42578125" customWidth="1"/>
    <col min="4" max="4" width="6.5703125" customWidth="1"/>
    <col min="9" max="10" width="0" hidden="1" customWidth="1"/>
  </cols>
  <sheetData>
    <row r="1" spans="1:10" s="208" customFormat="1" ht="32.25" customHeight="1" x14ac:dyDescent="0.25">
      <c r="A1" s="207" t="str">
        <f>VLOOKUP(58,Lang!A1:D2628,Lang!L1+1,FALSE)</f>
        <v>B-AD5 - Stínění fasády konstrukcemi a zelení</v>
      </c>
      <c r="E1" s="297" t="str">
        <f>VLOOKUP(129,Lang!A1:D2628,Lang!L1+1,FALSE)</f>
        <v>Navigace</v>
      </c>
      <c r="F1" s="298"/>
    </row>
    <row r="2" spans="1:10" ht="28.5" customHeight="1" thickBot="1" x14ac:dyDescent="0.3">
      <c r="A2" s="199" t="str">
        <f>VLOOKUP(130,Lang!A1:D2628,Lang!L1+1,FALSE)</f>
        <v>Metodický list indikátoru</v>
      </c>
      <c r="E2" s="100"/>
      <c r="F2" s="101"/>
    </row>
    <row r="3" spans="1:10" x14ac:dyDescent="0.25">
      <c r="A3" s="28"/>
    </row>
    <row r="4" spans="1:10" ht="15.75" thickBot="1" x14ac:dyDescent="0.3"/>
    <row r="5" spans="1:10" s="165" customFormat="1" ht="17.25" customHeight="1" thickBot="1" x14ac:dyDescent="0.3">
      <c r="A5" s="143" t="str">
        <f>VLOOKUP(116,Lang!A1:I2628,Lang!L1+1,FALSE)</f>
        <v>% podílu plochy fasády zastíněného vnější konstrukcí nebo vzrostlou listnatou či smíšenou zelení</v>
      </c>
      <c r="B5" s="269"/>
    </row>
    <row r="6" spans="1:10" x14ac:dyDescent="0.25">
      <c r="I6">
        <v>0</v>
      </c>
      <c r="J6" t="str">
        <f>IF(AND($B$5&gt;=I6,$B$5&lt;I7),"5 (E)","")</f>
        <v>5 (E)</v>
      </c>
    </row>
    <row r="7" spans="1:10" x14ac:dyDescent="0.25">
      <c r="I7">
        <v>10</v>
      </c>
      <c r="J7" t="str">
        <f>IF(AND($B$5&gt;=I7,$B$5&lt;I8),"4 (D)","")</f>
        <v/>
      </c>
    </row>
    <row r="8" spans="1:10" ht="18.75" x14ac:dyDescent="0.3">
      <c r="A8" s="72" t="str">
        <f>VLOOKUP(139,Lang!A1:D2628,Lang!L$1+1,FALSE)</f>
        <v>Hodnota indikátoru</v>
      </c>
      <c r="B8" s="70" t="str">
        <f>IF(B5="",VLOOKUP(31,Lang!A1:D2628,Lang!L$1+1,FALSE),CONCATENATE(J6,J7,J8,J9,J10))</f>
        <v>nezadáno</v>
      </c>
      <c r="I8">
        <v>33</v>
      </c>
      <c r="J8" t="str">
        <f>IF(AND($B$5&gt;=I8,$B$5&lt;I9),"3 (C)","")</f>
        <v/>
      </c>
    </row>
    <row r="9" spans="1:10" x14ac:dyDescent="0.25">
      <c r="I9">
        <v>66</v>
      </c>
      <c r="J9" t="str">
        <f>IF(AND($B$5&gt;=I9,$B$5&lt;I10),"2 (B)","")</f>
        <v/>
      </c>
    </row>
    <row r="10" spans="1:10" ht="15.75" thickBot="1" x14ac:dyDescent="0.3">
      <c r="I10" s="134">
        <v>67</v>
      </c>
      <c r="J10" t="str">
        <f>IF(B5&gt;=I10,"1 (A)","")</f>
        <v/>
      </c>
    </row>
    <row r="11" spans="1:10" ht="18" thickBot="1" x14ac:dyDescent="0.35">
      <c r="A11" s="230"/>
      <c r="B11" s="270" t="str">
        <f>IF(ISBLANK(B5),"",B5)</f>
        <v/>
      </c>
    </row>
  </sheetData>
  <sheetProtection sheet="1" objects="1" scenarios="1"/>
  <mergeCells count="1">
    <mergeCell ref="E1:F1"/>
  </mergeCells>
  <conditionalFormatting sqref="B11">
    <cfRule type="iconSet" priority="1">
      <iconSet iconSet="3Symbols2">
        <cfvo type="percent" val="0"/>
        <cfvo type="percent" val="33"/>
        <cfvo type="percent" val="67"/>
      </iconSet>
    </cfRule>
  </conditionalFormatting>
  <dataValidations count="1">
    <dataValidation type="decimal" allowBlank="1" showInputMessage="1" showErrorMessage="1" error="Interval: 0 % - 100 %_x000a_" sqref="B5">
      <formula1>0</formula1>
      <formula2>1</formula2>
    </dataValidation>
  </dataValidations>
  <pageMargins left="0.7" right="0.7" top="0.78740157499999996" bottom="0.78740157499999996"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4"/>
  <sheetViews>
    <sheetView showGridLines="0" workbookViewId="0">
      <selection activeCell="A13" sqref="A13"/>
    </sheetView>
  </sheetViews>
  <sheetFormatPr defaultRowHeight="15" x14ac:dyDescent="0.25"/>
  <cols>
    <col min="1" max="1" width="72" customWidth="1"/>
    <col min="2" max="2" width="30.85546875" customWidth="1"/>
    <col min="3" max="3" width="27" customWidth="1"/>
    <col min="4" max="6" width="8.85546875" customWidth="1"/>
    <col min="7" max="7" width="7.85546875" customWidth="1"/>
    <col min="8" max="8" width="36.140625" hidden="1" customWidth="1"/>
    <col min="9" max="9" width="0" hidden="1" customWidth="1"/>
    <col min="10" max="11" width="9.140625" hidden="1" customWidth="1"/>
    <col min="12" max="12" width="31.140625" hidden="1" customWidth="1"/>
    <col min="13" max="13" width="29.140625" hidden="1" customWidth="1"/>
    <col min="14" max="14" width="28.140625" hidden="1" customWidth="1"/>
    <col min="15" max="15" width="30.140625" hidden="1" customWidth="1"/>
    <col min="16" max="16" width="9.140625" hidden="1" customWidth="1"/>
    <col min="17" max="17" width="11.140625" hidden="1" customWidth="1"/>
    <col min="18" max="18" width="18.5703125" hidden="1" customWidth="1"/>
    <col min="19" max="20" width="9.140625" hidden="1" customWidth="1"/>
    <col min="21" max="22" width="8.7109375" hidden="1" customWidth="1"/>
    <col min="23" max="30" width="8.7109375" customWidth="1"/>
  </cols>
  <sheetData>
    <row r="1" spans="1:20" s="208" customFormat="1" ht="32.25" customHeight="1" x14ac:dyDescent="0.25">
      <c r="A1" s="207" t="str">
        <f>VLOOKUP(59,Lang!A1:D2628,Lang!L1+1,FALSE)</f>
        <v>B-AD6 - Vegetační a štěrkové střechy</v>
      </c>
      <c r="E1" s="297" t="str">
        <f>VLOOKUP(129,Lang!A1:D2628,Lang!L1+1,FALSE)</f>
        <v>Navigace</v>
      </c>
      <c r="F1" s="298"/>
    </row>
    <row r="2" spans="1:20" ht="28.5" customHeight="1" thickBot="1" x14ac:dyDescent="0.3">
      <c r="A2" s="199" t="str">
        <f>VLOOKUP(130,Lang!A1:D2628,Lang!L1+1,FALSE)</f>
        <v>Metodický list indikátoru</v>
      </c>
      <c r="E2" s="100"/>
      <c r="F2" s="101"/>
    </row>
    <row r="3" spans="1:20" x14ac:dyDescent="0.25">
      <c r="B3" s="159" t="s">
        <v>66</v>
      </c>
    </row>
    <row r="4" spans="1:20" x14ac:dyDescent="0.25">
      <c r="A4" s="90" t="str">
        <f>VLOOKUP(117,Lang!A1:I2628,Lang!L1+1,FALSE)</f>
        <v>Extenzivní střecha</v>
      </c>
      <c r="B4" s="217"/>
    </row>
    <row r="5" spans="1:20" ht="15.75" thickBot="1" x14ac:dyDescent="0.3">
      <c r="A5" s="90" t="str">
        <f>VLOOKUP(118,Lang!A1:I2628,Lang!L1+1,FALSE)</f>
        <v>Intenzivní střecha</v>
      </c>
      <c r="B5" s="217"/>
      <c r="L5" t="s">
        <v>141</v>
      </c>
      <c r="M5" t="s">
        <v>142</v>
      </c>
      <c r="N5" t="s">
        <v>143</v>
      </c>
      <c r="O5" t="s">
        <v>144</v>
      </c>
    </row>
    <row r="6" spans="1:20" ht="15.75" thickBot="1" x14ac:dyDescent="0.3">
      <c r="A6" s="90" t="str">
        <f>VLOOKUP(119,Lang!A1:I2628,Lang!L1+1,FALSE)</f>
        <v>Štěrkový povrch</v>
      </c>
      <c r="B6" s="217"/>
      <c r="L6" t="s">
        <v>7</v>
      </c>
      <c r="M6" t="s">
        <v>13</v>
      </c>
      <c r="N6" t="s">
        <v>19</v>
      </c>
      <c r="O6">
        <v>0</v>
      </c>
      <c r="S6" s="53">
        <v>0</v>
      </c>
      <c r="T6" s="2" t="s">
        <v>2</v>
      </c>
    </row>
    <row r="7" spans="1:20" ht="15.75" thickBot="1" x14ac:dyDescent="0.3">
      <c r="A7" s="90" t="str">
        <f>VLOOKUP(120,Lang!A1:I2628,Lang!L1+1,FALSE)</f>
        <v>Ostatní / běžná krytina</v>
      </c>
      <c r="B7" s="217"/>
      <c r="L7" t="s">
        <v>8</v>
      </c>
      <c r="M7" t="s">
        <v>14</v>
      </c>
      <c r="N7" t="s">
        <v>20</v>
      </c>
      <c r="O7">
        <v>1</v>
      </c>
      <c r="S7" s="54">
        <v>1</v>
      </c>
      <c r="T7" s="3" t="s">
        <v>3</v>
      </c>
    </row>
    <row r="8" spans="1:20" ht="15.75" thickBot="1" x14ac:dyDescent="0.3">
      <c r="B8" s="218">
        <f>SUM(B4:B7)</f>
        <v>0</v>
      </c>
      <c r="L8" t="s">
        <v>9</v>
      </c>
      <c r="M8" t="s">
        <v>15</v>
      </c>
      <c r="N8" t="s">
        <v>12</v>
      </c>
      <c r="O8">
        <v>2</v>
      </c>
      <c r="S8" s="54">
        <v>2</v>
      </c>
      <c r="T8" s="3" t="s">
        <v>3</v>
      </c>
    </row>
    <row r="9" spans="1:20" ht="15.75" thickBot="1" x14ac:dyDescent="0.3">
      <c r="L9" t="s">
        <v>10</v>
      </c>
      <c r="M9" t="s">
        <v>16</v>
      </c>
      <c r="N9" t="s">
        <v>12</v>
      </c>
      <c r="O9">
        <v>3</v>
      </c>
      <c r="S9" s="54">
        <v>3</v>
      </c>
      <c r="T9" s="4" t="s">
        <v>4</v>
      </c>
    </row>
    <row r="10" spans="1:20" ht="38.25" thickBot="1" x14ac:dyDescent="0.3">
      <c r="A10" s="168" t="str">
        <f>VLOOKUP(139,Lang!A1:D2628,Lang!L$1+1,FALSE)</f>
        <v>Hodnota indikátoru</v>
      </c>
      <c r="B10" s="204" t="str">
        <f>IF(OR(AND(COUNTBLANK(B4:B7)&gt;0,B8&lt;&gt;100),B8&lt;&gt;100),VLOOKUP(121,Lang!A1:D2628,Lang!L$1+1,FALSE),VLOOKUP(R29,S6:T11,2,FALSE))</f>
        <v>chybné/neúplné vstupy</v>
      </c>
      <c r="C10" s="204" t="str">
        <f>IF(B8&lt;&gt;100,VLOOKUP(121,Lang!A1:D2628,Lang!L$1+1,FALSE),R29)</f>
        <v>chybné/neúplné vstupy</v>
      </c>
      <c r="L10" t="s">
        <v>11</v>
      </c>
      <c r="M10" t="s">
        <v>17</v>
      </c>
      <c r="N10" t="s">
        <v>12</v>
      </c>
      <c r="O10">
        <v>4</v>
      </c>
      <c r="S10" s="54">
        <v>4</v>
      </c>
      <c r="T10" s="5" t="s">
        <v>5</v>
      </c>
    </row>
    <row r="11" spans="1:20" ht="15.75" thickBot="1" x14ac:dyDescent="0.3">
      <c r="L11" t="s">
        <v>12</v>
      </c>
      <c r="M11" t="s">
        <v>18</v>
      </c>
      <c r="N11" t="s">
        <v>12</v>
      </c>
      <c r="O11">
        <v>5</v>
      </c>
      <c r="S11" s="7">
        <v>5</v>
      </c>
      <c r="T11" s="6" t="s">
        <v>6</v>
      </c>
    </row>
    <row r="12" spans="1:20" ht="15.75" thickBot="1" x14ac:dyDescent="0.3"/>
    <row r="13" spans="1:20" ht="18" thickBot="1" x14ac:dyDescent="0.35">
      <c r="A13" s="230" t="str">
        <f>VLOOKUP(268,Lang!A$1:D$2628,Lang!L$1+1,FALSE)</f>
        <v>Hodnota pro vložení do Klimaskenu</v>
      </c>
      <c r="B13" s="231" t="str">
        <f>IF(B8&lt;&gt;100,"",R29)</f>
        <v/>
      </c>
      <c r="L13" s="1" t="s">
        <v>145</v>
      </c>
    </row>
    <row r="14" spans="1:20" ht="15.75" thickBot="1" x14ac:dyDescent="0.3"/>
    <row r="15" spans="1:20" ht="16.5" thickTop="1" thickBot="1" x14ac:dyDescent="0.3">
      <c r="L15" s="8" t="s">
        <v>146</v>
      </c>
      <c r="M15" s="301" t="s">
        <v>147</v>
      </c>
      <c r="N15" s="302"/>
      <c r="O15" s="302"/>
      <c r="P15" s="302"/>
      <c r="Q15" s="302"/>
      <c r="R15" s="303"/>
    </row>
    <row r="16" spans="1:20" ht="15" customHeight="1" thickTop="1" thickBot="1" x14ac:dyDescent="0.3">
      <c r="L16" s="9" t="s">
        <v>141</v>
      </c>
      <c r="M16" s="10" t="s">
        <v>7</v>
      </c>
      <c r="N16" s="10" t="s">
        <v>8</v>
      </c>
      <c r="O16" s="10" t="s">
        <v>9</v>
      </c>
      <c r="P16" s="10" t="s">
        <v>10</v>
      </c>
      <c r="Q16" s="10" t="s">
        <v>11</v>
      </c>
      <c r="R16" s="10" t="s">
        <v>12</v>
      </c>
    </row>
    <row r="17" spans="12:18" ht="31.5" thickTop="1" thickBot="1" x14ac:dyDescent="0.3">
      <c r="L17" s="11" t="s">
        <v>142</v>
      </c>
      <c r="M17" s="12" t="s">
        <v>13</v>
      </c>
      <c r="N17" s="12" t="s">
        <v>14</v>
      </c>
      <c r="O17" s="12" t="s">
        <v>15</v>
      </c>
      <c r="P17" s="12" t="s">
        <v>16</v>
      </c>
      <c r="Q17" s="12" t="s">
        <v>17</v>
      </c>
      <c r="R17" s="12" t="s">
        <v>18</v>
      </c>
    </row>
    <row r="18" spans="12:18" ht="16.5" thickTop="1" thickBot="1" x14ac:dyDescent="0.3">
      <c r="L18" s="9" t="s">
        <v>143</v>
      </c>
      <c r="M18" s="10" t="s">
        <v>19</v>
      </c>
      <c r="N18" s="10" t="s">
        <v>20</v>
      </c>
      <c r="O18" s="10" t="s">
        <v>12</v>
      </c>
      <c r="P18" s="10" t="s">
        <v>12</v>
      </c>
      <c r="Q18" s="10" t="s">
        <v>12</v>
      </c>
      <c r="R18" s="10" t="s">
        <v>12</v>
      </c>
    </row>
    <row r="19" spans="12:18" ht="31.5" thickTop="1" thickBot="1" x14ac:dyDescent="0.3">
      <c r="L19" s="13" t="s">
        <v>144</v>
      </c>
      <c r="M19" s="14">
        <v>0</v>
      </c>
      <c r="N19" s="14">
        <v>1</v>
      </c>
      <c r="O19" s="14">
        <v>2</v>
      </c>
      <c r="P19" s="14">
        <v>3</v>
      </c>
      <c r="Q19" s="14">
        <v>4</v>
      </c>
      <c r="R19" s="14">
        <v>5</v>
      </c>
    </row>
    <row r="20" spans="12:18" ht="15.75" thickTop="1" x14ac:dyDescent="0.25"/>
    <row r="23" spans="12:18" ht="15.75" thickBot="1" x14ac:dyDescent="0.3"/>
    <row r="24" spans="12:18" ht="15.75" thickBot="1" x14ac:dyDescent="0.3">
      <c r="L24" s="2" t="s">
        <v>2</v>
      </c>
      <c r="M24" s="3" t="s">
        <v>3</v>
      </c>
      <c r="N24" s="4" t="s">
        <v>4</v>
      </c>
      <c r="O24" s="5" t="s">
        <v>5</v>
      </c>
      <c r="P24" s="6" t="s">
        <v>6</v>
      </c>
    </row>
    <row r="25" spans="12:18" ht="15.75" thickBot="1" x14ac:dyDescent="0.3">
      <c r="L25" s="53">
        <v>0</v>
      </c>
      <c r="M25" s="54">
        <v>1</v>
      </c>
      <c r="N25" s="54">
        <v>3</v>
      </c>
      <c r="O25" s="54">
        <v>4</v>
      </c>
      <c r="P25" s="7">
        <v>5</v>
      </c>
    </row>
    <row r="27" spans="12:18" x14ac:dyDescent="0.25">
      <c r="M27" t="s">
        <v>75</v>
      </c>
    </row>
    <row r="28" spans="12:18" x14ac:dyDescent="0.25">
      <c r="M28">
        <v>0</v>
      </c>
      <c r="N28">
        <v>10</v>
      </c>
      <c r="O28" t="str">
        <f>IF(AND($B$4&gt;=M28,$B$4&lt;=N28),"X","")</f>
        <v>X</v>
      </c>
      <c r="P28">
        <v>0</v>
      </c>
      <c r="R28">
        <f>VLOOKUP("X",O28:P32,2,FALSE)+VLOOKUP("X",O35:P40,2,FALSE)+VLOOKUP("X",O43:P44,2,FALSE)</f>
        <v>0</v>
      </c>
    </row>
    <row r="29" spans="12:18" x14ac:dyDescent="0.25">
      <c r="M29">
        <v>10.000999999999999</v>
      </c>
      <c r="N29">
        <v>25</v>
      </c>
      <c r="O29" t="str">
        <f t="shared" ref="O29:O32" si="0">IF(AND($B$4&gt;=M29,$B$4&lt;=N29),"X","")</f>
        <v/>
      </c>
      <c r="P29">
        <v>1</v>
      </c>
      <c r="R29">
        <f>IF(R28&gt;5,5,R28)</f>
        <v>0</v>
      </c>
    </row>
    <row r="30" spans="12:18" x14ac:dyDescent="0.25">
      <c r="M30">
        <v>25.001000000000001</v>
      </c>
      <c r="N30">
        <v>50</v>
      </c>
      <c r="O30" t="str">
        <f t="shared" si="0"/>
        <v/>
      </c>
      <c r="P30">
        <v>2</v>
      </c>
    </row>
    <row r="31" spans="12:18" x14ac:dyDescent="0.25">
      <c r="M31">
        <v>50.000999999999998</v>
      </c>
      <c r="N31">
        <v>70</v>
      </c>
      <c r="O31" t="str">
        <f t="shared" si="0"/>
        <v/>
      </c>
      <c r="P31">
        <v>3</v>
      </c>
    </row>
    <row r="32" spans="12:18" x14ac:dyDescent="0.25">
      <c r="M32">
        <v>70.001000000000005</v>
      </c>
      <c r="N32">
        <v>100</v>
      </c>
      <c r="O32" t="str">
        <f t="shared" si="0"/>
        <v/>
      </c>
      <c r="P32">
        <v>4</v>
      </c>
    </row>
    <row r="34" spans="13:16" x14ac:dyDescent="0.25">
      <c r="M34" t="s">
        <v>76</v>
      </c>
    </row>
    <row r="35" spans="13:16" x14ac:dyDescent="0.25">
      <c r="M35">
        <v>0</v>
      </c>
      <c r="N35">
        <v>5</v>
      </c>
      <c r="O35" t="str">
        <f t="shared" ref="O35:O40" si="1">IF(AND($B$5&gt;=M35,$B$5&lt;=N35),"X","")</f>
        <v>X</v>
      </c>
      <c r="P35">
        <v>0</v>
      </c>
    </row>
    <row r="36" spans="13:16" x14ac:dyDescent="0.25">
      <c r="M36">
        <v>5.0010000000000003</v>
      </c>
      <c r="N36">
        <v>20</v>
      </c>
      <c r="O36" t="str">
        <f t="shared" si="1"/>
        <v/>
      </c>
      <c r="P36">
        <v>1</v>
      </c>
    </row>
    <row r="37" spans="13:16" x14ac:dyDescent="0.25">
      <c r="M37">
        <v>20.001000000000001</v>
      </c>
      <c r="N37">
        <v>40</v>
      </c>
      <c r="O37" t="str">
        <f t="shared" si="1"/>
        <v/>
      </c>
      <c r="P37">
        <v>2</v>
      </c>
    </row>
    <row r="38" spans="13:16" x14ac:dyDescent="0.25">
      <c r="M38">
        <v>40.000999999999998</v>
      </c>
      <c r="N38">
        <v>60</v>
      </c>
      <c r="O38" t="str">
        <f t="shared" si="1"/>
        <v/>
      </c>
      <c r="P38">
        <v>3</v>
      </c>
    </row>
    <row r="39" spans="13:16" x14ac:dyDescent="0.25">
      <c r="M39">
        <v>60.000999999999998</v>
      </c>
      <c r="N39">
        <v>80</v>
      </c>
      <c r="O39" t="str">
        <f t="shared" si="1"/>
        <v/>
      </c>
      <c r="P39">
        <v>4</v>
      </c>
    </row>
    <row r="40" spans="13:16" x14ac:dyDescent="0.25">
      <c r="M40">
        <v>80.001000000000005</v>
      </c>
      <c r="N40">
        <v>100</v>
      </c>
      <c r="O40" t="str">
        <f t="shared" si="1"/>
        <v/>
      </c>
      <c r="P40">
        <v>5</v>
      </c>
    </row>
    <row r="42" spans="13:16" x14ac:dyDescent="0.25">
      <c r="M42" t="s">
        <v>68</v>
      </c>
    </row>
    <row r="43" spans="13:16" x14ac:dyDescent="0.25">
      <c r="M43">
        <v>0</v>
      </c>
      <c r="N43">
        <v>25</v>
      </c>
      <c r="O43" t="str">
        <f>IF(B6&lt;=N43,"X","")</f>
        <v>X</v>
      </c>
      <c r="P43">
        <v>0</v>
      </c>
    </row>
    <row r="44" spans="13:16" x14ac:dyDescent="0.25">
      <c r="M44">
        <v>25.001000000000001</v>
      </c>
      <c r="N44">
        <v>100</v>
      </c>
      <c r="O44" t="str">
        <f>IF(B6&gt;M44,"X","")</f>
        <v/>
      </c>
      <c r="P44">
        <v>1</v>
      </c>
    </row>
  </sheetData>
  <sheetProtection sheet="1" objects="1" scenarios="1"/>
  <mergeCells count="2">
    <mergeCell ref="M15:R15"/>
    <mergeCell ref="E1:F1"/>
  </mergeCells>
  <conditionalFormatting sqref="B13">
    <cfRule type="iconSet" priority="1">
      <iconSet iconSet="3Symbols2">
        <cfvo type="percent" val="0"/>
        <cfvo type="percent" val="33"/>
        <cfvo type="percent" val="67"/>
      </iconSet>
    </cfRule>
  </conditionalFormatting>
  <dataValidations count="2">
    <dataValidation type="decimal" allowBlank="1" showInputMessage="1" showErrorMessage="1" error="min. 0 %; max. 100 %" sqref="B5:B7">
      <formula1>0</formula1>
      <formula2>100</formula2>
    </dataValidation>
    <dataValidation type="decimal" allowBlank="1" showInputMessage="1" showErrorMessage="1" error="min. 0; max. 100" sqref="B4">
      <formula1>0</formula1>
      <formula2>100</formula2>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3"/>
  <sheetViews>
    <sheetView topLeftCell="A438" workbookViewId="0">
      <selection activeCell="D441" sqref="D441"/>
    </sheetView>
  </sheetViews>
  <sheetFormatPr defaultColWidth="49" defaultRowHeight="15" x14ac:dyDescent="0.25"/>
  <cols>
    <col min="1" max="1" width="8.42578125" customWidth="1"/>
  </cols>
  <sheetData>
    <row r="1" spans="1:12" x14ac:dyDescent="0.25">
      <c r="A1" t="s">
        <v>186</v>
      </c>
      <c r="B1" t="s">
        <v>187</v>
      </c>
      <c r="C1" t="s">
        <v>188</v>
      </c>
      <c r="D1" t="s">
        <v>189</v>
      </c>
      <c r="E1" t="s">
        <v>1106</v>
      </c>
      <c r="K1" t="s">
        <v>303</v>
      </c>
      <c r="L1">
        <f>VLOOKUP(Souhrn!E1,Souhrn!J1:K6,2,FALSE)</f>
        <v>1</v>
      </c>
    </row>
    <row r="2" spans="1:12" x14ac:dyDescent="0.25">
      <c r="A2">
        <v>1</v>
      </c>
      <c r="B2" t="s">
        <v>190</v>
      </c>
      <c r="C2" t="s">
        <v>190</v>
      </c>
      <c r="D2" t="s">
        <v>191</v>
      </c>
      <c r="E2" t="s">
        <v>1188</v>
      </c>
      <c r="F2" s="229"/>
    </row>
    <row r="3" spans="1:12" x14ac:dyDescent="0.25">
      <c r="A3">
        <v>2</v>
      </c>
      <c r="B3" t="s">
        <v>192</v>
      </c>
      <c r="C3" t="s">
        <v>193</v>
      </c>
      <c r="D3" t="s">
        <v>194</v>
      </c>
      <c r="E3" t="s">
        <v>1189</v>
      </c>
      <c r="F3" s="229"/>
    </row>
    <row r="4" spans="1:12" x14ac:dyDescent="0.25">
      <c r="A4">
        <v>3</v>
      </c>
      <c r="B4" t="s">
        <v>196</v>
      </c>
      <c r="C4" t="s">
        <v>196</v>
      </c>
      <c r="D4" t="s">
        <v>195</v>
      </c>
      <c r="E4" t="s">
        <v>1190</v>
      </c>
      <c r="F4" s="229"/>
    </row>
    <row r="5" spans="1:12" x14ac:dyDescent="0.25">
      <c r="A5">
        <v>4</v>
      </c>
      <c r="B5" t="s">
        <v>197</v>
      </c>
      <c r="C5" t="s">
        <v>199</v>
      </c>
      <c r="D5" t="s">
        <v>198</v>
      </c>
      <c r="E5" t="s">
        <v>1191</v>
      </c>
      <c r="F5" s="229"/>
    </row>
    <row r="6" spans="1:12" x14ac:dyDescent="0.25">
      <c r="A6">
        <v>5</v>
      </c>
      <c r="B6" t="s">
        <v>200</v>
      </c>
      <c r="C6" t="s">
        <v>201</v>
      </c>
      <c r="D6" t="s">
        <v>202</v>
      </c>
      <c r="E6" t="s">
        <v>1192</v>
      </c>
      <c r="F6" s="229"/>
    </row>
    <row r="7" spans="1:12" x14ac:dyDescent="0.25">
      <c r="A7">
        <v>6</v>
      </c>
      <c r="B7" t="s">
        <v>205</v>
      </c>
      <c r="C7" t="s">
        <v>204</v>
      </c>
      <c r="D7" t="s">
        <v>203</v>
      </c>
      <c r="E7" t="s">
        <v>1193</v>
      </c>
      <c r="F7" s="229"/>
    </row>
    <row r="8" spans="1:12" x14ac:dyDescent="0.25">
      <c r="A8">
        <v>7</v>
      </c>
      <c r="B8" t="s">
        <v>206</v>
      </c>
      <c r="C8" t="s">
        <v>206</v>
      </c>
      <c r="D8" t="s">
        <v>207</v>
      </c>
      <c r="E8" t="s">
        <v>1194</v>
      </c>
      <c r="F8" s="229"/>
    </row>
    <row r="9" spans="1:12" x14ac:dyDescent="0.25">
      <c r="A9">
        <v>8</v>
      </c>
      <c r="B9" t="s">
        <v>240</v>
      </c>
      <c r="C9" t="s">
        <v>239</v>
      </c>
      <c r="D9" t="s">
        <v>238</v>
      </c>
      <c r="E9" t="s">
        <v>1195</v>
      </c>
      <c r="F9" s="229"/>
    </row>
    <row r="10" spans="1:12" x14ac:dyDescent="0.25">
      <c r="A10">
        <v>9</v>
      </c>
      <c r="B10" t="s">
        <v>243</v>
      </c>
      <c r="C10" t="s">
        <v>242</v>
      </c>
      <c r="D10" t="s">
        <v>241</v>
      </c>
      <c r="E10" t="s">
        <v>1196</v>
      </c>
      <c r="F10" s="229"/>
      <c r="K10" s="229" t="s">
        <v>872</v>
      </c>
    </row>
    <row r="11" spans="1:12" x14ac:dyDescent="0.25">
      <c r="A11">
        <v>10</v>
      </c>
      <c r="B11" t="s">
        <v>245</v>
      </c>
      <c r="C11" t="s">
        <v>246</v>
      </c>
      <c r="D11" t="s">
        <v>244</v>
      </c>
      <c r="E11" t="s">
        <v>1197</v>
      </c>
      <c r="F11" s="229"/>
    </row>
    <row r="12" spans="1:12" x14ac:dyDescent="0.25">
      <c r="A12">
        <v>11</v>
      </c>
      <c r="B12" t="s">
        <v>249</v>
      </c>
      <c r="C12" t="s">
        <v>248</v>
      </c>
      <c r="D12" t="s">
        <v>247</v>
      </c>
      <c r="E12" t="s">
        <v>1198</v>
      </c>
      <c r="F12" s="229"/>
    </row>
    <row r="13" spans="1:12" x14ac:dyDescent="0.25">
      <c r="A13">
        <v>12</v>
      </c>
      <c r="B13" t="s">
        <v>208</v>
      </c>
      <c r="C13" t="s">
        <v>215</v>
      </c>
      <c r="D13" t="s">
        <v>216</v>
      </c>
      <c r="E13" t="s">
        <v>1199</v>
      </c>
      <c r="F13" s="229"/>
    </row>
    <row r="14" spans="1:12" x14ac:dyDescent="0.25">
      <c r="A14">
        <v>13</v>
      </c>
      <c r="B14" t="s">
        <v>209</v>
      </c>
      <c r="C14" t="s">
        <v>217</v>
      </c>
      <c r="D14" t="s">
        <v>218</v>
      </c>
      <c r="E14" t="s">
        <v>1200</v>
      </c>
      <c r="F14" s="229"/>
    </row>
    <row r="15" spans="1:12" x14ac:dyDescent="0.25">
      <c r="A15">
        <v>14</v>
      </c>
      <c r="B15" t="s">
        <v>251</v>
      </c>
      <c r="C15" t="s">
        <v>252</v>
      </c>
      <c r="D15" t="s">
        <v>250</v>
      </c>
      <c r="E15" t="s">
        <v>1201</v>
      </c>
      <c r="F15" s="229"/>
    </row>
    <row r="16" spans="1:12" x14ac:dyDescent="0.25">
      <c r="A16">
        <v>15</v>
      </c>
      <c r="B16" t="s">
        <v>210</v>
      </c>
      <c r="C16" t="s">
        <v>219</v>
      </c>
      <c r="D16" t="s">
        <v>220</v>
      </c>
      <c r="E16" t="s">
        <v>1202</v>
      </c>
      <c r="F16" s="229"/>
    </row>
    <row r="17" spans="1:6" x14ac:dyDescent="0.25">
      <c r="A17">
        <v>16</v>
      </c>
      <c r="B17" t="s">
        <v>211</v>
      </c>
      <c r="C17" t="s">
        <v>221</v>
      </c>
      <c r="D17" t="s">
        <v>222</v>
      </c>
      <c r="E17" t="s">
        <v>1203</v>
      </c>
      <c r="F17" s="229"/>
    </row>
    <row r="18" spans="1:6" x14ac:dyDescent="0.25">
      <c r="A18">
        <v>17</v>
      </c>
      <c r="B18" t="s">
        <v>212</v>
      </c>
      <c r="C18" t="s">
        <v>223</v>
      </c>
      <c r="D18" t="s">
        <v>224</v>
      </c>
      <c r="E18" t="s">
        <v>1204</v>
      </c>
      <c r="F18" s="229"/>
    </row>
    <row r="19" spans="1:6" x14ac:dyDescent="0.25">
      <c r="A19">
        <v>18</v>
      </c>
      <c r="B19" t="s">
        <v>255</v>
      </c>
      <c r="C19" t="s">
        <v>254</v>
      </c>
      <c r="D19" t="s">
        <v>253</v>
      </c>
      <c r="E19" t="s">
        <v>1205</v>
      </c>
      <c r="F19" s="229"/>
    </row>
    <row r="20" spans="1:6" x14ac:dyDescent="0.25">
      <c r="A20">
        <v>19</v>
      </c>
      <c r="B20" t="s">
        <v>213</v>
      </c>
      <c r="C20" t="s">
        <v>225</v>
      </c>
      <c r="D20" t="s">
        <v>226</v>
      </c>
      <c r="E20" t="s">
        <v>1206</v>
      </c>
      <c r="F20" s="229"/>
    </row>
    <row r="21" spans="1:6" x14ac:dyDescent="0.25">
      <c r="A21">
        <v>20</v>
      </c>
      <c r="B21" t="s">
        <v>276</v>
      </c>
      <c r="C21" t="s">
        <v>275</v>
      </c>
      <c r="D21" t="s">
        <v>274</v>
      </c>
      <c r="E21" t="s">
        <v>1207</v>
      </c>
      <c r="F21" s="229"/>
    </row>
    <row r="22" spans="1:6" x14ac:dyDescent="0.25">
      <c r="A22">
        <v>21</v>
      </c>
      <c r="B22" t="s">
        <v>273</v>
      </c>
      <c r="C22" t="s">
        <v>272</v>
      </c>
      <c r="D22" t="s">
        <v>271</v>
      </c>
      <c r="E22" t="s">
        <v>1208</v>
      </c>
      <c r="F22" s="229"/>
    </row>
    <row r="23" spans="1:6" x14ac:dyDescent="0.25">
      <c r="A23">
        <v>22</v>
      </c>
      <c r="B23" t="s">
        <v>270</v>
      </c>
      <c r="C23" t="s">
        <v>269</v>
      </c>
      <c r="D23" t="s">
        <v>268</v>
      </c>
      <c r="E23" t="s">
        <v>1209</v>
      </c>
      <c r="F23" s="229"/>
    </row>
    <row r="24" spans="1:6" x14ac:dyDescent="0.25">
      <c r="A24">
        <v>23</v>
      </c>
      <c r="B24" t="s">
        <v>267</v>
      </c>
      <c r="C24" t="s">
        <v>266</v>
      </c>
      <c r="D24" t="s">
        <v>265</v>
      </c>
      <c r="E24" t="s">
        <v>1210</v>
      </c>
      <c r="F24" s="229"/>
    </row>
    <row r="25" spans="1:6" x14ac:dyDescent="0.25">
      <c r="A25">
        <v>24</v>
      </c>
      <c r="B25" t="s">
        <v>264</v>
      </c>
      <c r="C25" t="s">
        <v>263</v>
      </c>
      <c r="D25" t="s">
        <v>262</v>
      </c>
      <c r="E25" t="s">
        <v>1211</v>
      </c>
      <c r="F25" s="229"/>
    </row>
    <row r="26" spans="1:6" x14ac:dyDescent="0.25">
      <c r="A26">
        <v>25</v>
      </c>
      <c r="B26" t="s">
        <v>261</v>
      </c>
      <c r="C26" t="s">
        <v>260</v>
      </c>
      <c r="D26" t="s">
        <v>259</v>
      </c>
      <c r="E26" t="s">
        <v>1212</v>
      </c>
      <c r="F26" s="229"/>
    </row>
    <row r="27" spans="1:6" x14ac:dyDescent="0.25">
      <c r="A27">
        <v>26</v>
      </c>
      <c r="B27" t="s">
        <v>258</v>
      </c>
      <c r="C27" t="s">
        <v>257</v>
      </c>
      <c r="D27" t="s">
        <v>256</v>
      </c>
      <c r="E27" t="s">
        <v>1213</v>
      </c>
      <c r="F27" s="229"/>
    </row>
    <row r="28" spans="1:6" x14ac:dyDescent="0.25">
      <c r="A28">
        <v>27</v>
      </c>
      <c r="B28" t="s">
        <v>214</v>
      </c>
      <c r="C28" t="s">
        <v>227</v>
      </c>
      <c r="D28" t="s">
        <v>228</v>
      </c>
      <c r="E28" t="s">
        <v>1214</v>
      </c>
      <c r="F28" s="229"/>
    </row>
    <row r="29" spans="1:6" x14ac:dyDescent="0.25">
      <c r="A29">
        <v>28</v>
      </c>
      <c r="B29" t="s">
        <v>236</v>
      </c>
      <c r="C29" t="s">
        <v>237</v>
      </c>
      <c r="D29" t="s">
        <v>235</v>
      </c>
      <c r="E29" t="s">
        <v>1215</v>
      </c>
      <c r="F29" s="229"/>
    </row>
    <row r="30" spans="1:6" x14ac:dyDescent="0.25">
      <c r="A30">
        <v>29</v>
      </c>
      <c r="B30" t="s">
        <v>234</v>
      </c>
      <c r="C30" t="s">
        <v>233</v>
      </c>
      <c r="D30" t="s">
        <v>232</v>
      </c>
      <c r="E30" t="s">
        <v>1216</v>
      </c>
      <c r="F30" s="229"/>
    </row>
    <row r="31" spans="1:6" x14ac:dyDescent="0.25">
      <c r="A31">
        <v>30</v>
      </c>
      <c r="B31" t="s">
        <v>231</v>
      </c>
      <c r="C31" t="s">
        <v>230</v>
      </c>
      <c r="D31" t="s">
        <v>229</v>
      </c>
      <c r="E31" t="s">
        <v>1217</v>
      </c>
      <c r="F31" s="229"/>
    </row>
    <row r="32" spans="1:6" x14ac:dyDescent="0.25">
      <c r="A32">
        <v>31</v>
      </c>
      <c r="B32" t="s">
        <v>279</v>
      </c>
      <c r="C32" t="s">
        <v>278</v>
      </c>
      <c r="D32" t="s">
        <v>277</v>
      </c>
      <c r="E32" t="s">
        <v>1218</v>
      </c>
      <c r="F32" s="229"/>
    </row>
    <row r="33" spans="1:6" x14ac:dyDescent="0.25">
      <c r="A33">
        <v>32</v>
      </c>
      <c r="B33" t="s">
        <v>280</v>
      </c>
      <c r="C33" t="s">
        <v>280</v>
      </c>
      <c r="D33" t="s">
        <v>281</v>
      </c>
      <c r="E33" t="s">
        <v>1219</v>
      </c>
      <c r="F33" s="229"/>
    </row>
    <row r="34" spans="1:6" x14ac:dyDescent="0.25">
      <c r="A34">
        <v>33</v>
      </c>
      <c r="B34" t="s">
        <v>284</v>
      </c>
      <c r="C34" t="s">
        <v>283</v>
      </c>
      <c r="D34" t="s">
        <v>282</v>
      </c>
      <c r="E34" t="s">
        <v>1220</v>
      </c>
      <c r="F34" s="229"/>
    </row>
    <row r="35" spans="1:6" x14ac:dyDescent="0.25">
      <c r="A35">
        <v>34</v>
      </c>
      <c r="B35" t="s">
        <v>287</v>
      </c>
      <c r="C35" t="s">
        <v>286</v>
      </c>
      <c r="D35" t="s">
        <v>285</v>
      </c>
      <c r="E35" t="s">
        <v>1221</v>
      </c>
      <c r="F35" s="229"/>
    </row>
    <row r="36" spans="1:6" x14ac:dyDescent="0.25">
      <c r="A36">
        <v>35</v>
      </c>
      <c r="B36" t="s">
        <v>289</v>
      </c>
      <c r="C36" t="s">
        <v>289</v>
      </c>
      <c r="D36" t="s">
        <v>288</v>
      </c>
      <c r="E36" t="s">
        <v>1222</v>
      </c>
      <c r="F36" s="229"/>
    </row>
    <row r="37" spans="1:6" x14ac:dyDescent="0.25">
      <c r="A37">
        <v>36</v>
      </c>
      <c r="B37" t="s">
        <v>291</v>
      </c>
      <c r="C37" t="s">
        <v>291</v>
      </c>
      <c r="D37" t="s">
        <v>290</v>
      </c>
      <c r="E37" t="s">
        <v>291</v>
      </c>
      <c r="F37" s="229"/>
    </row>
    <row r="38" spans="1:6" x14ac:dyDescent="0.25">
      <c r="A38">
        <v>37</v>
      </c>
      <c r="B38" t="s">
        <v>292</v>
      </c>
      <c r="C38" t="s">
        <v>292</v>
      </c>
      <c r="D38" t="s">
        <v>293</v>
      </c>
      <c r="E38" t="s">
        <v>1223</v>
      </c>
      <c r="F38" s="229"/>
    </row>
    <row r="39" spans="1:6" x14ac:dyDescent="0.25">
      <c r="A39">
        <v>38</v>
      </c>
      <c r="B39" t="s">
        <v>294</v>
      </c>
      <c r="C39" t="s">
        <v>294</v>
      </c>
      <c r="D39" t="s">
        <v>295</v>
      </c>
      <c r="E39" t="s">
        <v>1224</v>
      </c>
      <c r="F39" s="229"/>
    </row>
    <row r="40" spans="1:6" x14ac:dyDescent="0.25">
      <c r="A40">
        <v>39</v>
      </c>
      <c r="B40" t="s">
        <v>296</v>
      </c>
      <c r="C40" t="s">
        <v>298</v>
      </c>
      <c r="D40" t="s">
        <v>297</v>
      </c>
      <c r="E40" t="s">
        <v>1225</v>
      </c>
      <c r="F40" s="229"/>
    </row>
    <row r="41" spans="1:6" x14ac:dyDescent="0.25">
      <c r="A41">
        <v>40</v>
      </c>
      <c r="B41" t="s">
        <v>305</v>
      </c>
      <c r="C41" t="s">
        <v>304</v>
      </c>
      <c r="D41" t="s">
        <v>306</v>
      </c>
      <c r="E41" t="s">
        <v>1226</v>
      </c>
      <c r="F41" s="229"/>
    </row>
    <row r="42" spans="1:6" x14ac:dyDescent="0.25">
      <c r="A42">
        <v>41</v>
      </c>
      <c r="B42" t="s">
        <v>307</v>
      </c>
      <c r="C42" t="s">
        <v>307</v>
      </c>
      <c r="D42" t="s">
        <v>308</v>
      </c>
      <c r="E42" t="s">
        <v>1227</v>
      </c>
      <c r="F42" s="229"/>
    </row>
    <row r="43" spans="1:6" x14ac:dyDescent="0.25">
      <c r="A43">
        <v>42</v>
      </c>
      <c r="B43" t="s">
        <v>309</v>
      </c>
      <c r="C43" t="s">
        <v>310</v>
      </c>
      <c r="D43" t="s">
        <v>311</v>
      </c>
      <c r="E43" t="s">
        <v>1228</v>
      </c>
      <c r="F43" s="229"/>
    </row>
    <row r="44" spans="1:6" x14ac:dyDescent="0.25">
      <c r="A44">
        <v>43</v>
      </c>
      <c r="B44" t="s">
        <v>363</v>
      </c>
      <c r="C44" t="s">
        <v>312</v>
      </c>
      <c r="D44" t="s">
        <v>1556</v>
      </c>
      <c r="E44" t="s">
        <v>1229</v>
      </c>
      <c r="F44" s="229"/>
    </row>
    <row r="45" spans="1:6" x14ac:dyDescent="0.25">
      <c r="A45">
        <v>44</v>
      </c>
      <c r="B45" t="s">
        <v>341</v>
      </c>
      <c r="C45" t="s">
        <v>341</v>
      </c>
      <c r="D45" t="s">
        <v>313</v>
      </c>
      <c r="E45" t="s">
        <v>1230</v>
      </c>
      <c r="F45" s="229"/>
    </row>
    <row r="46" spans="1:6" x14ac:dyDescent="0.25">
      <c r="A46">
        <v>45</v>
      </c>
      <c r="B46" t="s">
        <v>342</v>
      </c>
      <c r="C46" t="s">
        <v>343</v>
      </c>
      <c r="D46" t="s">
        <v>314</v>
      </c>
      <c r="E46" t="s">
        <v>1231</v>
      </c>
      <c r="F46" s="229"/>
    </row>
    <row r="47" spans="1:6" x14ac:dyDescent="0.25">
      <c r="A47">
        <v>46</v>
      </c>
      <c r="B47" t="s">
        <v>344</v>
      </c>
      <c r="C47" t="s">
        <v>344</v>
      </c>
      <c r="D47" t="s">
        <v>315</v>
      </c>
      <c r="E47" t="s">
        <v>1232</v>
      </c>
      <c r="F47" s="229"/>
    </row>
    <row r="48" spans="1:6" x14ac:dyDescent="0.25">
      <c r="A48">
        <v>47</v>
      </c>
      <c r="B48" t="s">
        <v>346</v>
      </c>
      <c r="C48" t="s">
        <v>345</v>
      </c>
      <c r="D48" t="s">
        <v>316</v>
      </c>
      <c r="E48" t="s">
        <v>1233</v>
      </c>
      <c r="F48" s="229"/>
    </row>
    <row r="49" spans="1:6" x14ac:dyDescent="0.25">
      <c r="A49">
        <v>48</v>
      </c>
      <c r="B49" t="s">
        <v>348</v>
      </c>
      <c r="C49" t="s">
        <v>347</v>
      </c>
      <c r="D49" t="s">
        <v>317</v>
      </c>
      <c r="E49" t="s">
        <v>1234</v>
      </c>
      <c r="F49" s="229"/>
    </row>
    <row r="50" spans="1:6" x14ac:dyDescent="0.25">
      <c r="A50">
        <v>49</v>
      </c>
      <c r="B50" t="s">
        <v>349</v>
      </c>
      <c r="C50" t="s">
        <v>350</v>
      </c>
      <c r="D50" t="s">
        <v>318</v>
      </c>
      <c r="E50" t="s">
        <v>1235</v>
      </c>
      <c r="F50" s="229"/>
    </row>
    <row r="51" spans="1:6" x14ac:dyDescent="0.25">
      <c r="A51">
        <v>50</v>
      </c>
      <c r="B51" t="s">
        <v>351</v>
      </c>
      <c r="C51" t="s">
        <v>351</v>
      </c>
      <c r="D51" t="s">
        <v>319</v>
      </c>
      <c r="E51" t="s">
        <v>1236</v>
      </c>
      <c r="F51" s="229"/>
    </row>
    <row r="52" spans="1:6" x14ac:dyDescent="0.25">
      <c r="A52">
        <v>51</v>
      </c>
      <c r="B52" t="s">
        <v>352</v>
      </c>
      <c r="C52" t="s">
        <v>353</v>
      </c>
      <c r="D52" t="s">
        <v>320</v>
      </c>
      <c r="E52" t="s">
        <v>1237</v>
      </c>
      <c r="F52" s="229"/>
    </row>
    <row r="53" spans="1:6" x14ac:dyDescent="0.25">
      <c r="A53">
        <v>52</v>
      </c>
      <c r="B53" t="s">
        <v>355</v>
      </c>
      <c r="C53" t="s">
        <v>354</v>
      </c>
      <c r="D53" t="s">
        <v>321</v>
      </c>
      <c r="E53" t="s">
        <v>1238</v>
      </c>
      <c r="F53" s="229"/>
    </row>
    <row r="54" spans="1:6" x14ac:dyDescent="0.25">
      <c r="A54">
        <v>53</v>
      </c>
      <c r="B54" t="s">
        <v>356</v>
      </c>
      <c r="C54" t="s">
        <v>357</v>
      </c>
      <c r="D54" t="s">
        <v>322</v>
      </c>
      <c r="E54" t="s">
        <v>1239</v>
      </c>
      <c r="F54" s="229"/>
    </row>
    <row r="55" spans="1:6" x14ac:dyDescent="0.25">
      <c r="A55">
        <v>54</v>
      </c>
      <c r="B55" t="s">
        <v>358</v>
      </c>
      <c r="C55" t="s">
        <v>359</v>
      </c>
      <c r="D55" t="s">
        <v>323</v>
      </c>
      <c r="E55" t="s">
        <v>1240</v>
      </c>
      <c r="F55" s="229"/>
    </row>
    <row r="56" spans="1:6" x14ac:dyDescent="0.25">
      <c r="A56">
        <v>55</v>
      </c>
      <c r="B56" t="s">
        <v>452</v>
      </c>
      <c r="C56" t="s">
        <v>451</v>
      </c>
      <c r="D56" t="s">
        <v>324</v>
      </c>
      <c r="E56" t="s">
        <v>1241</v>
      </c>
      <c r="F56" s="229"/>
    </row>
    <row r="57" spans="1:6" x14ac:dyDescent="0.25">
      <c r="A57">
        <v>56</v>
      </c>
      <c r="B57" t="s">
        <v>450</v>
      </c>
      <c r="C57" t="s">
        <v>449</v>
      </c>
      <c r="D57" t="s">
        <v>325</v>
      </c>
      <c r="E57" t="s">
        <v>1242</v>
      </c>
      <c r="F57" s="229"/>
    </row>
    <row r="58" spans="1:6" x14ac:dyDescent="0.25">
      <c r="A58">
        <v>57</v>
      </c>
      <c r="B58" t="s">
        <v>454</v>
      </c>
      <c r="C58" t="s">
        <v>453</v>
      </c>
      <c r="D58" t="s">
        <v>326</v>
      </c>
      <c r="E58" t="s">
        <v>1243</v>
      </c>
      <c r="F58" s="229"/>
    </row>
    <row r="59" spans="1:6" x14ac:dyDescent="0.25">
      <c r="A59">
        <v>58</v>
      </c>
      <c r="B59" t="s">
        <v>456</v>
      </c>
      <c r="C59" t="s">
        <v>455</v>
      </c>
      <c r="D59" t="s">
        <v>327</v>
      </c>
      <c r="E59" t="s">
        <v>1244</v>
      </c>
      <c r="F59" s="229"/>
    </row>
    <row r="60" spans="1:6" x14ac:dyDescent="0.25">
      <c r="A60">
        <v>59</v>
      </c>
      <c r="B60" t="s">
        <v>458</v>
      </c>
      <c r="C60" t="s">
        <v>457</v>
      </c>
      <c r="D60" t="s">
        <v>328</v>
      </c>
      <c r="E60" t="s">
        <v>1245</v>
      </c>
      <c r="F60" s="229"/>
    </row>
    <row r="61" spans="1:6" x14ac:dyDescent="0.25">
      <c r="A61">
        <v>60</v>
      </c>
      <c r="B61" t="s">
        <v>604</v>
      </c>
      <c r="C61" t="s">
        <v>605</v>
      </c>
      <c r="D61" t="s">
        <v>329</v>
      </c>
      <c r="E61" t="s">
        <v>1246</v>
      </c>
      <c r="F61" s="229"/>
    </row>
    <row r="62" spans="1:6" x14ac:dyDescent="0.25">
      <c r="A62">
        <v>61</v>
      </c>
      <c r="B62" t="s">
        <v>460</v>
      </c>
      <c r="C62" t="s">
        <v>459</v>
      </c>
      <c r="D62" t="s">
        <v>330</v>
      </c>
      <c r="E62" t="s">
        <v>1247</v>
      </c>
      <c r="F62" s="229"/>
    </row>
    <row r="63" spans="1:6" x14ac:dyDescent="0.25">
      <c r="A63">
        <v>62</v>
      </c>
      <c r="B63" t="s">
        <v>462</v>
      </c>
      <c r="C63" t="s">
        <v>461</v>
      </c>
      <c r="D63" t="s">
        <v>331</v>
      </c>
      <c r="E63" t="s">
        <v>1248</v>
      </c>
      <c r="F63" s="229"/>
    </row>
    <row r="64" spans="1:6" x14ac:dyDescent="0.25">
      <c r="A64">
        <v>63</v>
      </c>
      <c r="B64" t="s">
        <v>464</v>
      </c>
      <c r="C64" t="s">
        <v>463</v>
      </c>
      <c r="D64" t="s">
        <v>332</v>
      </c>
      <c r="E64" t="s">
        <v>1249</v>
      </c>
      <c r="F64" s="229"/>
    </row>
    <row r="65" spans="1:6" x14ac:dyDescent="0.25">
      <c r="A65">
        <v>64</v>
      </c>
      <c r="B65" t="s">
        <v>466</v>
      </c>
      <c r="C65" t="s">
        <v>465</v>
      </c>
      <c r="D65" t="s">
        <v>333</v>
      </c>
      <c r="E65" t="s">
        <v>1250</v>
      </c>
      <c r="F65" s="229"/>
    </row>
    <row r="66" spans="1:6" x14ac:dyDescent="0.25">
      <c r="A66">
        <v>65</v>
      </c>
      <c r="B66" t="s">
        <v>468</v>
      </c>
      <c r="C66" t="s">
        <v>467</v>
      </c>
      <c r="D66" t="s">
        <v>334</v>
      </c>
      <c r="E66" t="s">
        <v>1251</v>
      </c>
      <c r="F66" s="229"/>
    </row>
    <row r="67" spans="1:6" x14ac:dyDescent="0.25">
      <c r="A67">
        <v>66</v>
      </c>
      <c r="B67" t="s">
        <v>470</v>
      </c>
      <c r="C67" t="s">
        <v>469</v>
      </c>
      <c r="D67" t="s">
        <v>335</v>
      </c>
      <c r="E67" t="s">
        <v>1252</v>
      </c>
      <c r="F67" s="229"/>
    </row>
    <row r="68" spans="1:6" x14ac:dyDescent="0.25">
      <c r="A68">
        <v>67</v>
      </c>
      <c r="B68" t="s">
        <v>752</v>
      </c>
      <c r="C68" t="s">
        <v>753</v>
      </c>
      <c r="D68" t="s">
        <v>754</v>
      </c>
      <c r="E68" t="s">
        <v>1253</v>
      </c>
      <c r="F68" s="229"/>
    </row>
    <row r="69" spans="1:6" x14ac:dyDescent="0.25">
      <c r="A69">
        <v>68</v>
      </c>
      <c r="B69" t="s">
        <v>472</v>
      </c>
      <c r="C69" t="s">
        <v>471</v>
      </c>
      <c r="D69" t="s">
        <v>336</v>
      </c>
      <c r="E69" t="s">
        <v>1254</v>
      </c>
      <c r="F69" s="229"/>
    </row>
    <row r="70" spans="1:6" x14ac:dyDescent="0.25">
      <c r="A70">
        <v>69</v>
      </c>
      <c r="B70" t="s">
        <v>474</v>
      </c>
      <c r="C70" t="s">
        <v>473</v>
      </c>
      <c r="D70" t="s">
        <v>337</v>
      </c>
      <c r="E70" t="s">
        <v>1255</v>
      </c>
      <c r="F70" s="229"/>
    </row>
    <row r="71" spans="1:6" x14ac:dyDescent="0.25">
      <c r="A71">
        <v>70</v>
      </c>
      <c r="B71" t="s">
        <v>476</v>
      </c>
      <c r="C71" t="s">
        <v>475</v>
      </c>
      <c r="D71" t="s">
        <v>338</v>
      </c>
      <c r="E71" t="s">
        <v>1256</v>
      </c>
      <c r="F71" s="229"/>
    </row>
    <row r="72" spans="1:6" x14ac:dyDescent="0.25">
      <c r="A72">
        <v>71</v>
      </c>
      <c r="B72" t="s">
        <v>181</v>
      </c>
      <c r="C72" t="s">
        <v>853</v>
      </c>
      <c r="D72" t="s">
        <v>852</v>
      </c>
      <c r="E72" t="s">
        <v>1257</v>
      </c>
      <c r="F72" s="229"/>
    </row>
    <row r="73" spans="1:6" x14ac:dyDescent="0.25">
      <c r="A73">
        <v>72</v>
      </c>
      <c r="B73" t="s">
        <v>827</v>
      </c>
      <c r="C73" t="s">
        <v>828</v>
      </c>
      <c r="D73" t="s">
        <v>339</v>
      </c>
      <c r="E73" t="s">
        <v>1258</v>
      </c>
      <c r="F73" s="229"/>
    </row>
    <row r="74" spans="1:6" x14ac:dyDescent="0.25">
      <c r="A74">
        <v>73</v>
      </c>
      <c r="B74" t="s">
        <v>829</v>
      </c>
      <c r="C74" t="s">
        <v>830</v>
      </c>
      <c r="D74" t="s">
        <v>340</v>
      </c>
      <c r="E74" t="s">
        <v>1259</v>
      </c>
      <c r="F74" s="229"/>
    </row>
    <row r="75" spans="1:6" x14ac:dyDescent="0.25">
      <c r="A75">
        <v>74</v>
      </c>
      <c r="B75" t="s">
        <v>386</v>
      </c>
      <c r="C75" t="s">
        <v>388</v>
      </c>
      <c r="D75" t="s">
        <v>390</v>
      </c>
      <c r="E75" t="s">
        <v>1260</v>
      </c>
      <c r="F75" s="229"/>
    </row>
    <row r="76" spans="1:6" x14ac:dyDescent="0.25">
      <c r="A76">
        <v>75</v>
      </c>
      <c r="B76" t="s">
        <v>387</v>
      </c>
      <c r="C76" t="s">
        <v>389</v>
      </c>
      <c r="D76" t="s">
        <v>391</v>
      </c>
      <c r="E76" t="s">
        <v>391</v>
      </c>
      <c r="F76" s="229"/>
    </row>
    <row r="77" spans="1:6" x14ac:dyDescent="0.25">
      <c r="A77">
        <v>76</v>
      </c>
      <c r="B77" t="s">
        <v>394</v>
      </c>
      <c r="C77" t="s">
        <v>393</v>
      </c>
      <c r="D77" t="s">
        <v>392</v>
      </c>
      <c r="E77" t="s">
        <v>1261</v>
      </c>
      <c r="F77" s="229"/>
    </row>
    <row r="78" spans="1:6" x14ac:dyDescent="0.25">
      <c r="A78">
        <v>77</v>
      </c>
      <c r="B78" t="s">
        <v>397</v>
      </c>
      <c r="C78" t="s">
        <v>396</v>
      </c>
      <c r="D78" t="s">
        <v>395</v>
      </c>
      <c r="E78" t="s">
        <v>1262</v>
      </c>
      <c r="F78" s="229"/>
    </row>
    <row r="79" spans="1:6" x14ac:dyDescent="0.25">
      <c r="A79">
        <v>78</v>
      </c>
      <c r="B79" t="s">
        <v>399</v>
      </c>
      <c r="C79" t="s">
        <v>399</v>
      </c>
      <c r="D79" t="s">
        <v>398</v>
      </c>
      <c r="E79" t="s">
        <v>1263</v>
      </c>
      <c r="F79" s="229"/>
    </row>
    <row r="80" spans="1:6" x14ac:dyDescent="0.25">
      <c r="A80">
        <v>79</v>
      </c>
      <c r="B80" t="s">
        <v>402</v>
      </c>
      <c r="C80" t="s">
        <v>401</v>
      </c>
      <c r="D80" t="s">
        <v>400</v>
      </c>
      <c r="E80" t="s">
        <v>1264</v>
      </c>
      <c r="F80" s="229"/>
    </row>
    <row r="81" spans="1:6" x14ac:dyDescent="0.25">
      <c r="A81">
        <v>80</v>
      </c>
      <c r="B81" t="s">
        <v>405</v>
      </c>
      <c r="C81" t="s">
        <v>404</v>
      </c>
      <c r="D81" t="s">
        <v>403</v>
      </c>
      <c r="E81" t="s">
        <v>1265</v>
      </c>
      <c r="F81" s="229"/>
    </row>
    <row r="82" spans="1:6" x14ac:dyDescent="0.25">
      <c r="A82">
        <v>81</v>
      </c>
      <c r="B82" t="s">
        <v>408</v>
      </c>
      <c r="C82" t="s">
        <v>407</v>
      </c>
      <c r="D82" t="s">
        <v>406</v>
      </c>
      <c r="E82" t="s">
        <v>1266</v>
      </c>
      <c r="F82" s="229"/>
    </row>
    <row r="83" spans="1:6" x14ac:dyDescent="0.25">
      <c r="A83">
        <v>82</v>
      </c>
      <c r="B83" t="s">
        <v>423</v>
      </c>
      <c r="C83" t="s">
        <v>422</v>
      </c>
      <c r="D83" t="s">
        <v>409</v>
      </c>
      <c r="E83" t="s">
        <v>1267</v>
      </c>
      <c r="F83" s="229"/>
    </row>
    <row r="84" spans="1:6" x14ac:dyDescent="0.25">
      <c r="A84">
        <v>83</v>
      </c>
      <c r="B84" t="s">
        <v>421</v>
      </c>
      <c r="C84" t="s">
        <v>420</v>
      </c>
      <c r="D84" t="s">
        <v>410</v>
      </c>
      <c r="E84" t="s">
        <v>1268</v>
      </c>
      <c r="F84" s="229"/>
    </row>
    <row r="85" spans="1:6" x14ac:dyDescent="0.25">
      <c r="A85">
        <v>84</v>
      </c>
      <c r="B85" t="s">
        <v>418</v>
      </c>
      <c r="C85" t="s">
        <v>419</v>
      </c>
      <c r="D85" t="s">
        <v>411</v>
      </c>
      <c r="E85" t="s">
        <v>1269</v>
      </c>
      <c r="F85" s="229"/>
    </row>
    <row r="86" spans="1:6" x14ac:dyDescent="0.25">
      <c r="A86">
        <v>85</v>
      </c>
      <c r="B86" t="s">
        <v>417</v>
      </c>
      <c r="C86" t="s">
        <v>416</v>
      </c>
      <c r="D86" t="s">
        <v>412</v>
      </c>
      <c r="E86" t="s">
        <v>1270</v>
      </c>
      <c r="F86" s="229"/>
    </row>
    <row r="87" spans="1:6" x14ac:dyDescent="0.25">
      <c r="A87">
        <v>86</v>
      </c>
      <c r="B87" t="s">
        <v>415</v>
      </c>
      <c r="C87" t="s">
        <v>414</v>
      </c>
      <c r="D87" t="s">
        <v>413</v>
      </c>
      <c r="E87" t="s">
        <v>1271</v>
      </c>
      <c r="F87" s="229"/>
    </row>
    <row r="88" spans="1:6" x14ac:dyDescent="0.25">
      <c r="A88">
        <v>87</v>
      </c>
      <c r="B88" t="s">
        <v>428</v>
      </c>
      <c r="C88" t="s">
        <v>428</v>
      </c>
      <c r="D88" t="s">
        <v>427</v>
      </c>
      <c r="E88" t="s">
        <v>1272</v>
      </c>
      <c r="F88" s="229"/>
    </row>
    <row r="89" spans="1:6" x14ac:dyDescent="0.25">
      <c r="A89">
        <v>88</v>
      </c>
      <c r="B89" t="s">
        <v>873</v>
      </c>
      <c r="C89" t="s">
        <v>875</v>
      </c>
      <c r="D89" t="s">
        <v>876</v>
      </c>
      <c r="E89" t="s">
        <v>1273</v>
      </c>
      <c r="F89" s="229"/>
    </row>
    <row r="90" spans="1:6" x14ac:dyDescent="0.25">
      <c r="A90">
        <v>89</v>
      </c>
      <c r="B90" t="s">
        <v>874</v>
      </c>
      <c r="C90" t="s">
        <v>877</v>
      </c>
      <c r="D90" t="s">
        <v>878</v>
      </c>
      <c r="E90" t="s">
        <v>1274</v>
      </c>
      <c r="F90" s="229"/>
    </row>
    <row r="91" spans="1:6" x14ac:dyDescent="0.25">
      <c r="A91">
        <v>90</v>
      </c>
      <c r="B91" t="s">
        <v>882</v>
      </c>
      <c r="C91" t="s">
        <v>883</v>
      </c>
      <c r="D91" t="s">
        <v>884</v>
      </c>
      <c r="E91" t="s">
        <v>1275</v>
      </c>
      <c r="F91" s="229"/>
    </row>
    <row r="92" spans="1:6" x14ac:dyDescent="0.25">
      <c r="A92">
        <v>91</v>
      </c>
      <c r="B92" t="s">
        <v>885</v>
      </c>
      <c r="C92" t="s">
        <v>886</v>
      </c>
      <c r="D92" t="s">
        <v>887</v>
      </c>
      <c r="E92" t="s">
        <v>1276</v>
      </c>
      <c r="F92" s="229"/>
    </row>
    <row r="93" spans="1:6" x14ac:dyDescent="0.25">
      <c r="A93">
        <v>92</v>
      </c>
      <c r="B93" t="s">
        <v>879</v>
      </c>
      <c r="C93" t="s">
        <v>880</v>
      </c>
      <c r="D93" t="s">
        <v>881</v>
      </c>
      <c r="E93" t="s">
        <v>1277</v>
      </c>
      <c r="F93" s="229"/>
    </row>
    <row r="94" spans="1:6" x14ac:dyDescent="0.25">
      <c r="A94">
        <v>93</v>
      </c>
      <c r="B94" t="s">
        <v>445</v>
      </c>
      <c r="C94" t="s">
        <v>446</v>
      </c>
      <c r="D94" t="s">
        <v>429</v>
      </c>
      <c r="E94" t="s">
        <v>1278</v>
      </c>
      <c r="F94" s="229"/>
    </row>
    <row r="95" spans="1:6" x14ac:dyDescent="0.25">
      <c r="A95">
        <v>94</v>
      </c>
      <c r="B95" t="s">
        <v>443</v>
      </c>
      <c r="C95" t="s">
        <v>444</v>
      </c>
      <c r="D95" t="s">
        <v>430</v>
      </c>
      <c r="E95" t="s">
        <v>1279</v>
      </c>
      <c r="F95" s="229"/>
    </row>
    <row r="96" spans="1:6" x14ac:dyDescent="0.25">
      <c r="A96">
        <v>95</v>
      </c>
      <c r="B96" t="s">
        <v>441</v>
      </c>
      <c r="C96" t="s">
        <v>442</v>
      </c>
      <c r="D96" t="s">
        <v>431</v>
      </c>
      <c r="E96" t="s">
        <v>1280</v>
      </c>
      <c r="F96" s="229"/>
    </row>
    <row r="97" spans="1:6" x14ac:dyDescent="0.25">
      <c r="A97">
        <v>96</v>
      </c>
      <c r="B97" t="s">
        <v>439</v>
      </c>
      <c r="C97" t="s">
        <v>440</v>
      </c>
      <c r="D97" t="s">
        <v>432</v>
      </c>
      <c r="E97" t="s">
        <v>1281</v>
      </c>
      <c r="F97" s="229"/>
    </row>
    <row r="98" spans="1:6" x14ac:dyDescent="0.25">
      <c r="A98">
        <v>97</v>
      </c>
      <c r="B98" t="s">
        <v>437</v>
      </c>
      <c r="C98" t="s">
        <v>438</v>
      </c>
      <c r="D98" t="s">
        <v>433</v>
      </c>
      <c r="E98" t="s">
        <v>1282</v>
      </c>
      <c r="F98" s="229"/>
    </row>
    <row r="99" spans="1:6" x14ac:dyDescent="0.25">
      <c r="A99">
        <v>98</v>
      </c>
      <c r="B99" t="s">
        <v>436</v>
      </c>
      <c r="C99" t="s">
        <v>435</v>
      </c>
      <c r="D99" t="s">
        <v>434</v>
      </c>
      <c r="E99" t="s">
        <v>1283</v>
      </c>
      <c r="F99" s="229"/>
    </row>
    <row r="100" spans="1:6" x14ac:dyDescent="0.25">
      <c r="A100">
        <v>99</v>
      </c>
      <c r="B100" t="s">
        <v>447</v>
      </c>
      <c r="C100" t="s">
        <v>447</v>
      </c>
      <c r="D100" t="s">
        <v>448</v>
      </c>
      <c r="E100" t="s">
        <v>1284</v>
      </c>
      <c r="F100" s="229"/>
    </row>
    <row r="101" spans="1:6" x14ac:dyDescent="0.25">
      <c r="A101">
        <v>100</v>
      </c>
      <c r="B101" t="s">
        <v>479</v>
      </c>
      <c r="C101" t="s">
        <v>478</v>
      </c>
      <c r="D101" t="s">
        <v>477</v>
      </c>
      <c r="E101" t="s">
        <v>1285</v>
      </c>
      <c r="F101" s="229"/>
    </row>
    <row r="102" spans="1:6" x14ac:dyDescent="0.25">
      <c r="A102">
        <v>101</v>
      </c>
      <c r="B102" t="s">
        <v>482</v>
      </c>
      <c r="C102" t="s">
        <v>481</v>
      </c>
      <c r="D102" t="s">
        <v>480</v>
      </c>
      <c r="E102" t="s">
        <v>1286</v>
      </c>
      <c r="F102" s="229"/>
    </row>
    <row r="103" spans="1:6" x14ac:dyDescent="0.25">
      <c r="A103">
        <v>102</v>
      </c>
      <c r="B103" t="s">
        <v>485</v>
      </c>
      <c r="C103" t="s">
        <v>484</v>
      </c>
      <c r="D103" t="s">
        <v>483</v>
      </c>
      <c r="E103" t="s">
        <v>1287</v>
      </c>
      <c r="F103" s="229"/>
    </row>
    <row r="104" spans="1:6" x14ac:dyDescent="0.25">
      <c r="A104">
        <v>103</v>
      </c>
      <c r="B104" t="s">
        <v>486</v>
      </c>
      <c r="C104" t="s">
        <v>486</v>
      </c>
      <c r="D104" t="s">
        <v>488</v>
      </c>
      <c r="E104" t="s">
        <v>1288</v>
      </c>
      <c r="F104" s="229"/>
    </row>
    <row r="105" spans="1:6" x14ac:dyDescent="0.25">
      <c r="A105">
        <v>104</v>
      </c>
      <c r="B105" t="s">
        <v>487</v>
      </c>
      <c r="C105" t="s">
        <v>487</v>
      </c>
      <c r="D105" t="s">
        <v>489</v>
      </c>
      <c r="E105" t="s">
        <v>1289</v>
      </c>
      <c r="F105" s="229"/>
    </row>
    <row r="106" spans="1:6" x14ac:dyDescent="0.25">
      <c r="A106">
        <v>105</v>
      </c>
      <c r="B106" t="s">
        <v>490</v>
      </c>
      <c r="C106" t="s">
        <v>490</v>
      </c>
      <c r="D106" t="s">
        <v>491</v>
      </c>
      <c r="E106" t="s">
        <v>1290</v>
      </c>
      <c r="F106" s="229"/>
    </row>
    <row r="107" spans="1:6" x14ac:dyDescent="0.25">
      <c r="A107">
        <v>106</v>
      </c>
      <c r="B107" t="s">
        <v>490</v>
      </c>
      <c r="C107" t="s">
        <v>490</v>
      </c>
      <c r="D107" t="s">
        <v>491</v>
      </c>
      <c r="E107" t="s">
        <v>1290</v>
      </c>
      <c r="F107" s="229"/>
    </row>
    <row r="108" spans="1:6" x14ac:dyDescent="0.25">
      <c r="A108">
        <v>107</v>
      </c>
      <c r="B108" t="s">
        <v>490</v>
      </c>
      <c r="C108" t="s">
        <v>490</v>
      </c>
      <c r="D108" t="s">
        <v>491</v>
      </c>
      <c r="E108" t="s">
        <v>1291</v>
      </c>
      <c r="F108" s="229"/>
    </row>
    <row r="109" spans="1:6" x14ac:dyDescent="0.25">
      <c r="A109">
        <v>108</v>
      </c>
      <c r="B109" t="s">
        <v>490</v>
      </c>
      <c r="C109" t="s">
        <v>490</v>
      </c>
      <c r="D109" t="s">
        <v>491</v>
      </c>
      <c r="E109" t="s">
        <v>1291</v>
      </c>
      <c r="F109" s="229"/>
    </row>
    <row r="110" spans="1:6" x14ac:dyDescent="0.25">
      <c r="A110">
        <v>109</v>
      </c>
      <c r="B110" t="s">
        <v>490</v>
      </c>
      <c r="C110" t="s">
        <v>490</v>
      </c>
      <c r="D110" t="s">
        <v>491</v>
      </c>
      <c r="E110" t="s">
        <v>1292</v>
      </c>
      <c r="F110" s="229"/>
    </row>
    <row r="111" spans="1:6" x14ac:dyDescent="0.25">
      <c r="A111">
        <v>110</v>
      </c>
      <c r="B111" t="s">
        <v>369</v>
      </c>
      <c r="C111" t="s">
        <v>369</v>
      </c>
      <c r="D111" t="s">
        <v>370</v>
      </c>
      <c r="E111" t="s">
        <v>1293</v>
      </c>
      <c r="F111" s="229"/>
    </row>
    <row r="112" spans="1:6" x14ac:dyDescent="0.25">
      <c r="A112">
        <v>111</v>
      </c>
      <c r="B112" t="s">
        <v>371</v>
      </c>
      <c r="C112" t="s">
        <v>372</v>
      </c>
      <c r="D112" t="s">
        <v>373</v>
      </c>
      <c r="E112" t="s">
        <v>1294</v>
      </c>
      <c r="F112" s="229"/>
    </row>
    <row r="113" spans="1:6" x14ac:dyDescent="0.25">
      <c r="A113">
        <v>112</v>
      </c>
      <c r="B113" t="s">
        <v>494</v>
      </c>
      <c r="C113" t="s">
        <v>493</v>
      </c>
      <c r="D113" t="s">
        <v>492</v>
      </c>
      <c r="E113" t="s">
        <v>1295</v>
      </c>
      <c r="F113" s="229"/>
    </row>
    <row r="114" spans="1:6" x14ac:dyDescent="0.25">
      <c r="A114">
        <v>113</v>
      </c>
      <c r="B114" t="s">
        <v>497</v>
      </c>
      <c r="C114" t="s">
        <v>496</v>
      </c>
      <c r="D114" t="s">
        <v>495</v>
      </c>
      <c r="E114" t="s">
        <v>1296</v>
      </c>
      <c r="F114" s="229"/>
    </row>
    <row r="115" spans="1:6" x14ac:dyDescent="0.25">
      <c r="A115">
        <v>114</v>
      </c>
      <c r="B115" t="s">
        <v>498</v>
      </c>
      <c r="C115" t="s">
        <v>498</v>
      </c>
      <c r="D115" t="s">
        <v>499</v>
      </c>
      <c r="E115" t="s">
        <v>1297</v>
      </c>
      <c r="F115" s="229"/>
    </row>
    <row r="116" spans="1:6" x14ac:dyDescent="0.25">
      <c r="A116">
        <v>115</v>
      </c>
      <c r="B116" t="s">
        <v>500</v>
      </c>
      <c r="C116" t="s">
        <v>25</v>
      </c>
      <c r="D116" t="s">
        <v>25</v>
      </c>
      <c r="E116" t="s">
        <v>1298</v>
      </c>
      <c r="F116" s="229"/>
    </row>
    <row r="117" spans="1:6" x14ac:dyDescent="0.25">
      <c r="A117">
        <v>116</v>
      </c>
      <c r="B117" t="s">
        <v>589</v>
      </c>
      <c r="C117" t="s">
        <v>588</v>
      </c>
      <c r="D117" t="s">
        <v>587</v>
      </c>
      <c r="E117" t="s">
        <v>1299</v>
      </c>
      <c r="F117" s="229"/>
    </row>
    <row r="118" spans="1:6" x14ac:dyDescent="0.25">
      <c r="A118">
        <v>117</v>
      </c>
      <c r="B118" t="s">
        <v>601</v>
      </c>
      <c r="C118" t="s">
        <v>600</v>
      </c>
      <c r="D118" t="s">
        <v>590</v>
      </c>
      <c r="E118" t="s">
        <v>1300</v>
      </c>
      <c r="F118" s="229"/>
    </row>
    <row r="119" spans="1:6" x14ac:dyDescent="0.25">
      <c r="A119">
        <v>118</v>
      </c>
      <c r="B119" t="s">
        <v>598</v>
      </c>
      <c r="C119" t="s">
        <v>597</v>
      </c>
      <c r="D119" t="s">
        <v>591</v>
      </c>
      <c r="E119" t="s">
        <v>1301</v>
      </c>
      <c r="F119" s="229"/>
    </row>
    <row r="120" spans="1:6" x14ac:dyDescent="0.25">
      <c r="A120">
        <v>119</v>
      </c>
      <c r="B120" t="s">
        <v>599</v>
      </c>
      <c r="C120" t="s">
        <v>596</v>
      </c>
      <c r="D120" t="s">
        <v>592</v>
      </c>
      <c r="E120" t="s">
        <v>1302</v>
      </c>
      <c r="F120" s="229"/>
    </row>
    <row r="121" spans="1:6" x14ac:dyDescent="0.25">
      <c r="A121">
        <v>120</v>
      </c>
      <c r="B121" t="s">
        <v>595</v>
      </c>
      <c r="C121" t="s">
        <v>594</v>
      </c>
      <c r="D121" t="s">
        <v>593</v>
      </c>
      <c r="E121" t="s">
        <v>1303</v>
      </c>
      <c r="F121" s="229"/>
    </row>
    <row r="122" spans="1:6" x14ac:dyDescent="0.25">
      <c r="A122">
        <v>121</v>
      </c>
      <c r="B122" t="s">
        <v>603</v>
      </c>
      <c r="C122" t="s">
        <v>603</v>
      </c>
      <c r="D122" t="s">
        <v>602</v>
      </c>
      <c r="E122" t="s">
        <v>1304</v>
      </c>
      <c r="F122" s="229"/>
    </row>
    <row r="123" spans="1:6" x14ac:dyDescent="0.25">
      <c r="A123">
        <v>122</v>
      </c>
      <c r="B123" t="s">
        <v>214</v>
      </c>
      <c r="C123" t="s">
        <v>227</v>
      </c>
      <c r="D123" t="s">
        <v>228</v>
      </c>
      <c r="E123" t="s">
        <v>1214</v>
      </c>
      <c r="F123" s="229"/>
    </row>
    <row r="124" spans="1:6" x14ac:dyDescent="0.25">
      <c r="A124">
        <v>123</v>
      </c>
      <c r="B124" t="s">
        <v>833</v>
      </c>
      <c r="C124" t="s">
        <v>832</v>
      </c>
      <c r="D124" t="s">
        <v>831</v>
      </c>
      <c r="E124" t="s">
        <v>1305</v>
      </c>
      <c r="F124" s="229"/>
    </row>
    <row r="125" spans="1:6" x14ac:dyDescent="0.25">
      <c r="A125">
        <v>124</v>
      </c>
      <c r="B125" t="s">
        <v>888</v>
      </c>
      <c r="C125" t="s">
        <v>889</v>
      </c>
      <c r="D125" t="s">
        <v>890</v>
      </c>
      <c r="E125" t="s">
        <v>1306</v>
      </c>
      <c r="F125" s="229"/>
    </row>
    <row r="126" spans="1:6" x14ac:dyDescent="0.25">
      <c r="A126">
        <v>125</v>
      </c>
      <c r="B126" t="s">
        <v>834</v>
      </c>
      <c r="C126" t="s">
        <v>237</v>
      </c>
      <c r="D126" t="s">
        <v>235</v>
      </c>
      <c r="E126" t="s">
        <v>1215</v>
      </c>
      <c r="F126" s="229"/>
    </row>
    <row r="127" spans="1:6" x14ac:dyDescent="0.25">
      <c r="A127">
        <v>126</v>
      </c>
      <c r="B127" t="s">
        <v>854</v>
      </c>
      <c r="C127" t="s">
        <v>855</v>
      </c>
      <c r="D127" t="s">
        <v>856</v>
      </c>
      <c r="E127" t="s">
        <v>1307</v>
      </c>
      <c r="F127" s="229"/>
    </row>
    <row r="128" spans="1:6" x14ac:dyDescent="0.25">
      <c r="A128">
        <v>127</v>
      </c>
      <c r="B128" s="29" t="s">
        <v>1005</v>
      </c>
      <c r="C128" s="29" t="s">
        <v>1006</v>
      </c>
      <c r="D128" s="29" t="s">
        <v>1007</v>
      </c>
      <c r="E128" t="s">
        <v>1308</v>
      </c>
      <c r="F128" s="229"/>
    </row>
    <row r="129" spans="1:6" x14ac:dyDescent="0.25">
      <c r="A129">
        <v>128</v>
      </c>
      <c r="F129" s="229"/>
    </row>
    <row r="130" spans="1:6" x14ac:dyDescent="0.25">
      <c r="A130">
        <v>129</v>
      </c>
      <c r="B130" t="s">
        <v>383</v>
      </c>
      <c r="C130" t="s">
        <v>384</v>
      </c>
      <c r="D130" t="s">
        <v>385</v>
      </c>
      <c r="E130" t="s">
        <v>1309</v>
      </c>
      <c r="F130" s="229"/>
    </row>
    <row r="131" spans="1:6" x14ac:dyDescent="0.25">
      <c r="A131">
        <v>130</v>
      </c>
      <c r="B131" t="s">
        <v>360</v>
      </c>
      <c r="C131" t="s">
        <v>362</v>
      </c>
      <c r="D131" t="s">
        <v>361</v>
      </c>
      <c r="E131" t="s">
        <v>1310</v>
      </c>
      <c r="F131" s="229"/>
    </row>
    <row r="132" spans="1:6" x14ac:dyDescent="0.25">
      <c r="A132">
        <v>131</v>
      </c>
      <c r="B132" t="s">
        <v>1553</v>
      </c>
      <c r="C132" t="s">
        <v>1554</v>
      </c>
      <c r="D132" t="s">
        <v>1555</v>
      </c>
      <c r="E132" t="s">
        <v>1311</v>
      </c>
      <c r="F132" s="229"/>
    </row>
    <row r="133" spans="1:6" x14ac:dyDescent="0.25">
      <c r="A133">
        <v>132</v>
      </c>
      <c r="B133" t="s">
        <v>365</v>
      </c>
      <c r="C133" t="s">
        <v>365</v>
      </c>
      <c r="D133" t="s">
        <v>364</v>
      </c>
      <c r="E133" t="s">
        <v>1312</v>
      </c>
      <c r="F133" s="229"/>
    </row>
    <row r="134" spans="1:6" x14ac:dyDescent="0.25">
      <c r="A134">
        <v>133</v>
      </c>
      <c r="B134" t="s">
        <v>368</v>
      </c>
      <c r="C134" t="s">
        <v>367</v>
      </c>
      <c r="D134" t="s">
        <v>366</v>
      </c>
      <c r="E134" t="s">
        <v>1313</v>
      </c>
      <c r="F134" s="229"/>
    </row>
    <row r="135" spans="1:6" x14ac:dyDescent="0.25">
      <c r="A135">
        <v>134</v>
      </c>
      <c r="B135" t="s">
        <v>376</v>
      </c>
      <c r="C135" t="s">
        <v>375</v>
      </c>
      <c r="D135" t="s">
        <v>374</v>
      </c>
      <c r="E135" t="s">
        <v>1314</v>
      </c>
      <c r="F135" s="229"/>
    </row>
    <row r="136" spans="1:6" x14ac:dyDescent="0.25">
      <c r="A136">
        <v>135</v>
      </c>
      <c r="B136" t="s">
        <v>379</v>
      </c>
      <c r="C136" t="s">
        <v>378</v>
      </c>
      <c r="D136" t="s">
        <v>377</v>
      </c>
      <c r="E136" t="s">
        <v>1315</v>
      </c>
      <c r="F136" s="229"/>
    </row>
    <row r="137" spans="1:6" x14ac:dyDescent="0.25">
      <c r="A137">
        <v>136</v>
      </c>
      <c r="B137" t="s">
        <v>382</v>
      </c>
      <c r="C137" t="s">
        <v>381</v>
      </c>
      <c r="D137" t="s">
        <v>380</v>
      </c>
      <c r="E137" t="s">
        <v>1316</v>
      </c>
      <c r="F137" s="229"/>
    </row>
    <row r="138" spans="1:6" x14ac:dyDescent="0.25">
      <c r="A138">
        <v>137</v>
      </c>
      <c r="B138" t="s">
        <v>895</v>
      </c>
      <c r="C138" t="s">
        <v>897</v>
      </c>
      <c r="D138" t="s">
        <v>900</v>
      </c>
      <c r="E138" t="s">
        <v>1317</v>
      </c>
      <c r="F138" s="229"/>
    </row>
    <row r="139" spans="1:6" x14ac:dyDescent="0.25">
      <c r="A139">
        <v>138</v>
      </c>
      <c r="B139" t="s">
        <v>896</v>
      </c>
      <c r="C139" t="s">
        <v>898</v>
      </c>
      <c r="D139" t="s">
        <v>899</v>
      </c>
      <c r="E139" t="s">
        <v>1318</v>
      </c>
      <c r="F139" s="229"/>
    </row>
    <row r="140" spans="1:6" x14ac:dyDescent="0.25">
      <c r="A140">
        <v>139</v>
      </c>
      <c r="B140" t="s">
        <v>426</v>
      </c>
      <c r="C140" t="s">
        <v>425</v>
      </c>
      <c r="D140" t="s">
        <v>424</v>
      </c>
      <c r="E140" t="s">
        <v>1319</v>
      </c>
      <c r="F140" s="229"/>
    </row>
    <row r="141" spans="1:6" x14ac:dyDescent="0.25">
      <c r="A141">
        <v>140</v>
      </c>
      <c r="B141" t="s">
        <v>502</v>
      </c>
      <c r="C141" t="s">
        <v>503</v>
      </c>
      <c r="D141" t="s">
        <v>501</v>
      </c>
      <c r="E141" t="s">
        <v>1320</v>
      </c>
      <c r="F141" s="229"/>
    </row>
    <row r="142" spans="1:6" x14ac:dyDescent="0.25">
      <c r="A142">
        <v>141</v>
      </c>
      <c r="B142" t="s">
        <v>506</v>
      </c>
      <c r="C142" t="s">
        <v>505</v>
      </c>
      <c r="D142" t="s">
        <v>504</v>
      </c>
      <c r="E142" t="s">
        <v>1321</v>
      </c>
      <c r="F142" s="229"/>
    </row>
    <row r="143" spans="1:6" x14ac:dyDescent="0.25">
      <c r="A143">
        <v>142</v>
      </c>
      <c r="B143" t="s">
        <v>509</v>
      </c>
      <c r="C143" t="s">
        <v>508</v>
      </c>
      <c r="D143" t="s">
        <v>507</v>
      </c>
      <c r="E143" t="s">
        <v>1322</v>
      </c>
      <c r="F143" s="229"/>
    </row>
    <row r="144" spans="1:6" x14ac:dyDescent="0.25">
      <c r="A144">
        <v>143</v>
      </c>
      <c r="B144" t="s">
        <v>512</v>
      </c>
      <c r="C144" t="s">
        <v>511</v>
      </c>
      <c r="D144" t="s">
        <v>510</v>
      </c>
      <c r="E144" t="s">
        <v>1323</v>
      </c>
      <c r="F144" s="229"/>
    </row>
    <row r="145" spans="1:6" x14ac:dyDescent="0.25">
      <c r="A145">
        <v>144</v>
      </c>
      <c r="B145" t="s">
        <v>515</v>
      </c>
      <c r="C145" t="s">
        <v>514</v>
      </c>
      <c r="D145" t="s">
        <v>513</v>
      </c>
      <c r="E145" t="s">
        <v>1324</v>
      </c>
      <c r="F145" s="229"/>
    </row>
    <row r="146" spans="1:6" x14ac:dyDescent="0.25">
      <c r="A146">
        <v>145</v>
      </c>
      <c r="B146" t="s">
        <v>518</v>
      </c>
      <c r="C146" t="s">
        <v>517</v>
      </c>
      <c r="D146" t="s">
        <v>516</v>
      </c>
      <c r="E146" t="s">
        <v>1325</v>
      </c>
      <c r="F146" s="229"/>
    </row>
    <row r="147" spans="1:6" x14ac:dyDescent="0.25">
      <c r="A147">
        <v>146</v>
      </c>
      <c r="B147" t="s">
        <v>521</v>
      </c>
      <c r="C147" t="s">
        <v>520</v>
      </c>
      <c r="D147" t="s">
        <v>519</v>
      </c>
      <c r="E147" t="s">
        <v>1326</v>
      </c>
      <c r="F147" s="229"/>
    </row>
    <row r="148" spans="1:6" x14ac:dyDescent="0.25">
      <c r="A148">
        <v>147</v>
      </c>
      <c r="B148" t="s">
        <v>545</v>
      </c>
      <c r="C148" t="s">
        <v>544</v>
      </c>
      <c r="D148" t="s">
        <v>543</v>
      </c>
      <c r="E148" t="s">
        <v>1327</v>
      </c>
      <c r="F148" s="229"/>
    </row>
    <row r="149" spans="1:6" x14ac:dyDescent="0.25">
      <c r="A149">
        <v>148</v>
      </c>
      <c r="B149" t="s">
        <v>542</v>
      </c>
      <c r="C149" t="s">
        <v>541</v>
      </c>
      <c r="D149" t="s">
        <v>540</v>
      </c>
      <c r="E149" t="s">
        <v>1328</v>
      </c>
      <c r="F149" s="229"/>
    </row>
    <row r="150" spans="1:6" x14ac:dyDescent="0.25">
      <c r="A150">
        <v>149</v>
      </c>
      <c r="B150" t="s">
        <v>539</v>
      </c>
      <c r="C150" t="s">
        <v>538</v>
      </c>
      <c r="D150" t="s">
        <v>537</v>
      </c>
      <c r="E150" t="s">
        <v>1329</v>
      </c>
      <c r="F150" s="229"/>
    </row>
    <row r="151" spans="1:6" x14ac:dyDescent="0.25">
      <c r="A151">
        <v>150</v>
      </c>
      <c r="B151" t="s">
        <v>536</v>
      </c>
      <c r="C151" t="s">
        <v>535</v>
      </c>
      <c r="D151" t="s">
        <v>534</v>
      </c>
      <c r="E151" t="s">
        <v>1330</v>
      </c>
      <c r="F151" s="229"/>
    </row>
    <row r="152" spans="1:6" x14ac:dyDescent="0.25">
      <c r="A152">
        <v>151</v>
      </c>
      <c r="B152" t="s">
        <v>532</v>
      </c>
      <c r="C152" t="s">
        <v>533</v>
      </c>
      <c r="D152" t="s">
        <v>531</v>
      </c>
      <c r="E152" t="s">
        <v>1331</v>
      </c>
      <c r="F152" s="229"/>
    </row>
    <row r="153" spans="1:6" x14ac:dyDescent="0.25">
      <c r="A153">
        <v>152</v>
      </c>
      <c r="B153" t="s">
        <v>530</v>
      </c>
      <c r="C153" t="s">
        <v>529</v>
      </c>
      <c r="D153" t="s">
        <v>528</v>
      </c>
      <c r="E153" t="s">
        <v>1332</v>
      </c>
      <c r="F153" s="229"/>
    </row>
    <row r="154" spans="1:6" x14ac:dyDescent="0.25">
      <c r="A154">
        <v>153</v>
      </c>
      <c r="B154" t="s">
        <v>527</v>
      </c>
      <c r="C154" t="s">
        <v>526</v>
      </c>
      <c r="D154" t="s">
        <v>525</v>
      </c>
      <c r="E154" t="s">
        <v>1333</v>
      </c>
      <c r="F154" s="229"/>
    </row>
    <row r="155" spans="1:6" x14ac:dyDescent="0.25">
      <c r="A155">
        <v>154</v>
      </c>
      <c r="B155" t="s">
        <v>523</v>
      </c>
      <c r="C155" t="s">
        <v>524</v>
      </c>
      <c r="D155" t="s">
        <v>522</v>
      </c>
      <c r="E155" t="s">
        <v>1334</v>
      </c>
      <c r="F155" s="229"/>
    </row>
    <row r="156" spans="1:6" x14ac:dyDescent="0.25">
      <c r="A156">
        <v>155</v>
      </c>
      <c r="B156" t="s">
        <v>546</v>
      </c>
      <c r="C156" t="s">
        <v>548</v>
      </c>
      <c r="D156" t="s">
        <v>550</v>
      </c>
      <c r="E156" t="s">
        <v>1335</v>
      </c>
      <c r="F156" s="229"/>
    </row>
    <row r="157" spans="1:6" x14ac:dyDescent="0.25">
      <c r="A157">
        <v>156</v>
      </c>
      <c r="B157" t="s">
        <v>547</v>
      </c>
      <c r="C157" t="s">
        <v>549</v>
      </c>
      <c r="D157" t="s">
        <v>551</v>
      </c>
      <c r="E157" t="s">
        <v>1336</v>
      </c>
      <c r="F157" s="229"/>
    </row>
    <row r="158" spans="1:6" x14ac:dyDescent="0.25">
      <c r="A158">
        <v>157</v>
      </c>
      <c r="B158" t="s">
        <v>249</v>
      </c>
      <c r="C158" t="s">
        <v>552</v>
      </c>
      <c r="D158" t="s">
        <v>247</v>
      </c>
      <c r="E158" t="s">
        <v>1337</v>
      </c>
      <c r="F158" s="229"/>
    </row>
    <row r="159" spans="1:6" x14ac:dyDescent="0.25">
      <c r="A159">
        <v>158</v>
      </c>
      <c r="B159" t="s">
        <v>555</v>
      </c>
      <c r="C159" t="s">
        <v>554</v>
      </c>
      <c r="D159" t="s">
        <v>553</v>
      </c>
      <c r="E159" t="s">
        <v>1338</v>
      </c>
      <c r="F159" s="229"/>
    </row>
    <row r="160" spans="1:6" x14ac:dyDescent="0.25">
      <c r="A160">
        <v>159</v>
      </c>
      <c r="B160" t="s">
        <v>558</v>
      </c>
      <c r="C160" t="s">
        <v>557</v>
      </c>
      <c r="D160" t="s">
        <v>556</v>
      </c>
      <c r="E160" t="s">
        <v>1339</v>
      </c>
      <c r="F160" s="229"/>
    </row>
    <row r="161" spans="1:6" x14ac:dyDescent="0.25">
      <c r="A161">
        <v>160</v>
      </c>
      <c r="B161" t="s">
        <v>561</v>
      </c>
      <c r="C161" t="s">
        <v>560</v>
      </c>
      <c r="D161" t="s">
        <v>559</v>
      </c>
      <c r="E161" t="s">
        <v>1340</v>
      </c>
      <c r="F161" s="229"/>
    </row>
    <row r="162" spans="1:6" x14ac:dyDescent="0.25">
      <c r="A162">
        <v>161</v>
      </c>
      <c r="B162" t="s">
        <v>857</v>
      </c>
      <c r="C162" t="s">
        <v>858</v>
      </c>
      <c r="D162" t="s">
        <v>859</v>
      </c>
      <c r="E162" t="s">
        <v>1341</v>
      </c>
      <c r="F162" s="229"/>
    </row>
    <row r="163" spans="1:6" x14ac:dyDescent="0.25">
      <c r="A163">
        <v>162</v>
      </c>
      <c r="B163" t="s">
        <v>862</v>
      </c>
      <c r="C163" t="s">
        <v>861</v>
      </c>
      <c r="D163" t="s">
        <v>860</v>
      </c>
      <c r="E163" t="s">
        <v>1342</v>
      </c>
      <c r="F163" s="229"/>
    </row>
    <row r="164" spans="1:6" x14ac:dyDescent="0.25">
      <c r="A164">
        <v>163</v>
      </c>
      <c r="B164" t="s">
        <v>863</v>
      </c>
      <c r="C164" t="s">
        <v>864</v>
      </c>
      <c r="D164" t="s">
        <v>865</v>
      </c>
      <c r="E164" t="s">
        <v>1343</v>
      </c>
      <c r="F164" s="229"/>
    </row>
    <row r="165" spans="1:6" x14ac:dyDescent="0.25">
      <c r="A165">
        <v>164</v>
      </c>
      <c r="B165" t="s">
        <v>564</v>
      </c>
      <c r="C165" t="s">
        <v>563</v>
      </c>
      <c r="D165" t="s">
        <v>562</v>
      </c>
      <c r="E165" t="s">
        <v>1344</v>
      </c>
      <c r="F165" s="229"/>
    </row>
    <row r="166" spans="1:6" x14ac:dyDescent="0.25">
      <c r="A166">
        <v>165</v>
      </c>
      <c r="B166" t="s">
        <v>565</v>
      </c>
      <c r="C166" t="s">
        <v>565</v>
      </c>
      <c r="D166" t="s">
        <v>566</v>
      </c>
      <c r="E166" t="s">
        <v>1345</v>
      </c>
      <c r="F166" s="229"/>
    </row>
    <row r="167" spans="1:6" x14ac:dyDescent="0.25">
      <c r="A167">
        <v>166</v>
      </c>
      <c r="B167" t="s">
        <v>567</v>
      </c>
      <c r="C167" t="s">
        <v>567</v>
      </c>
      <c r="D167" t="s">
        <v>568</v>
      </c>
      <c r="E167" t="s">
        <v>1346</v>
      </c>
      <c r="F167" s="229"/>
    </row>
    <row r="168" spans="1:6" x14ac:dyDescent="0.25">
      <c r="A168">
        <v>167</v>
      </c>
      <c r="B168" t="s">
        <v>569</v>
      </c>
      <c r="C168" t="s">
        <v>569</v>
      </c>
      <c r="D168" t="s">
        <v>570</v>
      </c>
      <c r="E168" t="s">
        <v>1347</v>
      </c>
      <c r="F168" s="229"/>
    </row>
    <row r="169" spans="1:6" x14ac:dyDescent="0.25">
      <c r="A169">
        <v>168</v>
      </c>
      <c r="B169" t="s">
        <v>571</v>
      </c>
      <c r="C169" t="s">
        <v>572</v>
      </c>
      <c r="D169" t="s">
        <v>573</v>
      </c>
      <c r="E169" t="s">
        <v>1348</v>
      </c>
      <c r="F169" s="229"/>
    </row>
    <row r="170" spans="1:6" x14ac:dyDescent="0.25">
      <c r="A170">
        <v>169</v>
      </c>
      <c r="B170" t="s">
        <v>574</v>
      </c>
      <c r="C170" t="s">
        <v>575</v>
      </c>
      <c r="D170" t="s">
        <v>576</v>
      </c>
      <c r="E170" t="s">
        <v>1349</v>
      </c>
      <c r="F170" s="229"/>
    </row>
    <row r="171" spans="1:6" x14ac:dyDescent="0.25">
      <c r="A171">
        <v>170</v>
      </c>
      <c r="B171" t="s">
        <v>577</v>
      </c>
      <c r="C171" t="s">
        <v>579</v>
      </c>
      <c r="D171" t="s">
        <v>578</v>
      </c>
      <c r="E171" t="s">
        <v>1350</v>
      </c>
      <c r="F171" s="229"/>
    </row>
    <row r="172" spans="1:6" x14ac:dyDescent="0.25">
      <c r="A172">
        <v>171</v>
      </c>
      <c r="B172" t="s">
        <v>838</v>
      </c>
      <c r="C172" t="s">
        <v>580</v>
      </c>
      <c r="D172" t="s">
        <v>839</v>
      </c>
      <c r="E172" t="s">
        <v>1351</v>
      </c>
      <c r="F172" s="229"/>
    </row>
    <row r="173" spans="1:6" x14ac:dyDescent="0.25">
      <c r="A173">
        <v>172</v>
      </c>
      <c r="B173" t="s">
        <v>840</v>
      </c>
      <c r="C173" t="s">
        <v>841</v>
      </c>
      <c r="D173" t="s">
        <v>842</v>
      </c>
      <c r="E173" t="s">
        <v>1352</v>
      </c>
      <c r="F173" s="229"/>
    </row>
    <row r="174" spans="1:6" x14ac:dyDescent="0.25">
      <c r="A174">
        <v>173</v>
      </c>
      <c r="B174" t="s">
        <v>583</v>
      </c>
      <c r="C174" t="s">
        <v>582</v>
      </c>
      <c r="D174" t="s">
        <v>581</v>
      </c>
      <c r="E174" t="s">
        <v>1353</v>
      </c>
      <c r="F174" s="229"/>
    </row>
    <row r="175" spans="1:6" x14ac:dyDescent="0.25">
      <c r="A175">
        <v>174</v>
      </c>
      <c r="B175" t="s">
        <v>586</v>
      </c>
      <c r="C175" t="s">
        <v>585</v>
      </c>
      <c r="D175" t="s">
        <v>584</v>
      </c>
      <c r="E175" t="s">
        <v>1354</v>
      </c>
      <c r="F175" s="229"/>
    </row>
    <row r="176" spans="1:6" x14ac:dyDescent="0.25">
      <c r="A176">
        <v>175</v>
      </c>
      <c r="B176" t="s">
        <v>1178</v>
      </c>
      <c r="C176" t="s">
        <v>1181</v>
      </c>
      <c r="D176" t="s">
        <v>1182</v>
      </c>
      <c r="E176" t="s">
        <v>1355</v>
      </c>
      <c r="F176" s="229"/>
    </row>
    <row r="177" spans="1:6" x14ac:dyDescent="0.25">
      <c r="A177">
        <v>176</v>
      </c>
      <c r="B177" t="s">
        <v>1179</v>
      </c>
      <c r="C177" t="s">
        <v>1180</v>
      </c>
      <c r="D177" t="s">
        <v>1183</v>
      </c>
      <c r="E177" t="s">
        <v>1356</v>
      </c>
      <c r="F177" s="229"/>
    </row>
    <row r="178" spans="1:6" x14ac:dyDescent="0.25">
      <c r="A178">
        <v>177</v>
      </c>
      <c r="B178" t="s">
        <v>1547</v>
      </c>
      <c r="C178" t="s">
        <v>1548</v>
      </c>
      <c r="D178" t="s">
        <v>1549</v>
      </c>
      <c r="E178" t="s">
        <v>1357</v>
      </c>
      <c r="F178" s="229"/>
    </row>
    <row r="179" spans="1:6" x14ac:dyDescent="0.25">
      <c r="A179">
        <v>178</v>
      </c>
      <c r="B179" t="s">
        <v>69</v>
      </c>
      <c r="C179" t="s">
        <v>606</v>
      </c>
      <c r="D179" t="s">
        <v>607</v>
      </c>
      <c r="E179" t="s">
        <v>1358</v>
      </c>
      <c r="F179" s="229"/>
    </row>
    <row r="180" spans="1:6" x14ac:dyDescent="0.25">
      <c r="A180">
        <v>179</v>
      </c>
      <c r="B180" t="s">
        <v>70</v>
      </c>
      <c r="C180" t="s">
        <v>608</v>
      </c>
      <c r="D180" t="s">
        <v>609</v>
      </c>
      <c r="E180" t="s">
        <v>1359</v>
      </c>
      <c r="F180" s="229"/>
    </row>
    <row r="181" spans="1:6" x14ac:dyDescent="0.25">
      <c r="A181">
        <v>180</v>
      </c>
      <c r="B181" t="s">
        <v>71</v>
      </c>
      <c r="C181" t="s">
        <v>610</v>
      </c>
      <c r="D181" t="s">
        <v>611</v>
      </c>
      <c r="E181" t="s">
        <v>1360</v>
      </c>
      <c r="F181" s="229"/>
    </row>
    <row r="182" spans="1:6" x14ac:dyDescent="0.25">
      <c r="A182">
        <v>181</v>
      </c>
      <c r="B182" t="s">
        <v>72</v>
      </c>
      <c r="C182" t="s">
        <v>612</v>
      </c>
      <c r="D182" t="s">
        <v>613</v>
      </c>
      <c r="E182" t="s">
        <v>1361</v>
      </c>
      <c r="F182" s="229"/>
    </row>
    <row r="183" spans="1:6" x14ac:dyDescent="0.25">
      <c r="A183">
        <v>182</v>
      </c>
      <c r="B183" t="s">
        <v>73</v>
      </c>
      <c r="C183" t="s">
        <v>614</v>
      </c>
      <c r="D183" t="s">
        <v>615</v>
      </c>
      <c r="E183" t="s">
        <v>1362</v>
      </c>
      <c r="F183" s="229"/>
    </row>
    <row r="184" spans="1:6" x14ac:dyDescent="0.25">
      <c r="A184">
        <v>183</v>
      </c>
      <c r="B184" t="s">
        <v>103</v>
      </c>
      <c r="C184" t="s">
        <v>617</v>
      </c>
      <c r="D184" t="s">
        <v>616</v>
      </c>
      <c r="E184" t="s">
        <v>1363</v>
      </c>
      <c r="F184" s="229"/>
    </row>
    <row r="185" spans="1:6" x14ac:dyDescent="0.25">
      <c r="A185">
        <v>184</v>
      </c>
      <c r="B185" s="282" t="s">
        <v>1518</v>
      </c>
      <c r="C185" t="s">
        <v>1530</v>
      </c>
      <c r="D185" t="s">
        <v>1524</v>
      </c>
      <c r="E185" t="s">
        <v>1364</v>
      </c>
      <c r="F185" s="229"/>
    </row>
    <row r="186" spans="1:6" x14ac:dyDescent="0.25">
      <c r="A186">
        <v>185</v>
      </c>
      <c r="B186" s="282" t="s">
        <v>1520</v>
      </c>
      <c r="C186" t="s">
        <v>1532</v>
      </c>
      <c r="D186" t="s">
        <v>1526</v>
      </c>
      <c r="E186" t="s">
        <v>1365</v>
      </c>
      <c r="F186" s="229"/>
    </row>
    <row r="187" spans="1:6" x14ac:dyDescent="0.25">
      <c r="A187">
        <v>186</v>
      </c>
      <c r="B187" s="282" t="s">
        <v>1521</v>
      </c>
      <c r="C187" t="s">
        <v>1533</v>
      </c>
      <c r="D187" t="s">
        <v>1527</v>
      </c>
      <c r="E187" t="s">
        <v>1366</v>
      </c>
      <c r="F187" s="229"/>
    </row>
    <row r="188" spans="1:6" x14ac:dyDescent="0.25">
      <c r="A188">
        <v>187</v>
      </c>
      <c r="B188" s="282" t="s">
        <v>1522</v>
      </c>
      <c r="C188" t="s">
        <v>1534</v>
      </c>
      <c r="D188" t="s">
        <v>1528</v>
      </c>
      <c r="E188" t="s">
        <v>1367</v>
      </c>
      <c r="F188" s="229"/>
    </row>
    <row r="189" spans="1:6" x14ac:dyDescent="0.25">
      <c r="A189">
        <v>188</v>
      </c>
      <c r="B189" s="282" t="s">
        <v>1523</v>
      </c>
      <c r="C189" t="s">
        <v>1535</v>
      </c>
      <c r="D189" t="s">
        <v>1529</v>
      </c>
      <c r="E189" t="s">
        <v>1368</v>
      </c>
      <c r="F189" s="229"/>
    </row>
    <row r="190" spans="1:6" x14ac:dyDescent="0.25">
      <c r="A190">
        <v>189</v>
      </c>
      <c r="B190" t="s">
        <v>631</v>
      </c>
      <c r="C190" t="s">
        <v>632</v>
      </c>
      <c r="D190" t="s">
        <v>633</v>
      </c>
      <c r="E190" t="s">
        <v>1369</v>
      </c>
      <c r="F190" s="229"/>
    </row>
    <row r="191" spans="1:6" x14ac:dyDescent="0.25">
      <c r="A191">
        <v>190</v>
      </c>
      <c r="B191" t="s">
        <v>621</v>
      </c>
      <c r="C191" t="s">
        <v>620</v>
      </c>
      <c r="D191" t="s">
        <v>619</v>
      </c>
      <c r="E191" t="s">
        <v>1370</v>
      </c>
      <c r="F191" s="229"/>
    </row>
    <row r="192" spans="1:6" x14ac:dyDescent="0.25">
      <c r="A192">
        <v>191</v>
      </c>
      <c r="B192" t="s">
        <v>624</v>
      </c>
      <c r="C192" t="s">
        <v>623</v>
      </c>
      <c r="D192" t="s">
        <v>622</v>
      </c>
      <c r="E192" t="s">
        <v>1371</v>
      </c>
      <c r="F192" s="229"/>
    </row>
    <row r="193" spans="1:6" x14ac:dyDescent="0.25">
      <c r="A193">
        <v>192</v>
      </c>
      <c r="B193" t="s">
        <v>627</v>
      </c>
      <c r="C193" t="s">
        <v>626</v>
      </c>
      <c r="D193" t="s">
        <v>625</v>
      </c>
      <c r="E193" t="s">
        <v>1372</v>
      </c>
      <c r="F193" s="229"/>
    </row>
    <row r="194" spans="1:6" x14ac:dyDescent="0.25">
      <c r="A194">
        <v>193</v>
      </c>
      <c r="B194" t="s">
        <v>630</v>
      </c>
      <c r="C194" t="s">
        <v>628</v>
      </c>
      <c r="D194" t="s">
        <v>629</v>
      </c>
      <c r="E194" t="s">
        <v>1373</v>
      </c>
      <c r="F194" s="229"/>
    </row>
    <row r="195" spans="1:6" x14ac:dyDescent="0.25">
      <c r="A195">
        <v>194</v>
      </c>
      <c r="B195" t="s">
        <v>1176</v>
      </c>
      <c r="C195" t="s">
        <v>1175</v>
      </c>
      <c r="D195" t="s">
        <v>1177</v>
      </c>
      <c r="E195" t="s">
        <v>1374</v>
      </c>
      <c r="F195" s="229"/>
    </row>
    <row r="196" spans="1:6" x14ac:dyDescent="0.25">
      <c r="A196">
        <v>195</v>
      </c>
      <c r="B196" t="s">
        <v>634</v>
      </c>
      <c r="C196" t="s">
        <v>634</v>
      </c>
      <c r="D196" t="s">
        <v>635</v>
      </c>
      <c r="E196" t="s">
        <v>1375</v>
      </c>
      <c r="F196" s="229"/>
    </row>
    <row r="197" spans="1:6" x14ac:dyDescent="0.25">
      <c r="A197">
        <v>196</v>
      </c>
      <c r="B197" t="s">
        <v>637</v>
      </c>
      <c r="C197" t="s">
        <v>637</v>
      </c>
      <c r="D197" t="s">
        <v>636</v>
      </c>
      <c r="E197" t="s">
        <v>1376</v>
      </c>
      <c r="F197" s="229"/>
    </row>
    <row r="198" spans="1:6" x14ac:dyDescent="0.25">
      <c r="A198">
        <v>197</v>
      </c>
      <c r="B198" t="s">
        <v>640</v>
      </c>
      <c r="C198" t="s">
        <v>639</v>
      </c>
      <c r="D198" t="s">
        <v>638</v>
      </c>
      <c r="E198" t="s">
        <v>1377</v>
      </c>
      <c r="F198" s="229"/>
    </row>
    <row r="199" spans="1:6" x14ac:dyDescent="0.25">
      <c r="A199">
        <v>198</v>
      </c>
      <c r="B199" t="s">
        <v>641</v>
      </c>
      <c r="C199" t="s">
        <v>642</v>
      </c>
      <c r="D199" t="s">
        <v>643</v>
      </c>
      <c r="E199" t="s">
        <v>1378</v>
      </c>
      <c r="F199" s="229"/>
    </row>
    <row r="200" spans="1:6" x14ac:dyDescent="0.25">
      <c r="A200">
        <v>199</v>
      </c>
      <c r="B200" t="s">
        <v>645</v>
      </c>
      <c r="C200" t="s">
        <v>646</v>
      </c>
      <c r="D200" t="s">
        <v>644</v>
      </c>
      <c r="E200" t="s">
        <v>1379</v>
      </c>
      <c r="F200" s="229"/>
    </row>
    <row r="201" spans="1:6" x14ac:dyDescent="0.25">
      <c r="A201">
        <v>200</v>
      </c>
      <c r="B201" t="s">
        <v>676</v>
      </c>
      <c r="C201" t="s">
        <v>675</v>
      </c>
      <c r="D201" t="s">
        <v>674</v>
      </c>
      <c r="E201" t="s">
        <v>1380</v>
      </c>
      <c r="F201" s="229"/>
    </row>
    <row r="202" spans="1:6" x14ac:dyDescent="0.25">
      <c r="A202">
        <v>201</v>
      </c>
      <c r="B202" t="s">
        <v>679</v>
      </c>
      <c r="C202" t="s">
        <v>678</v>
      </c>
      <c r="D202" t="s">
        <v>677</v>
      </c>
      <c r="E202" t="s">
        <v>1381</v>
      </c>
      <c r="F202" s="229"/>
    </row>
    <row r="203" spans="1:6" x14ac:dyDescent="0.25">
      <c r="A203">
        <v>202</v>
      </c>
      <c r="B203" t="s">
        <v>682</v>
      </c>
      <c r="C203" t="s">
        <v>681</v>
      </c>
      <c r="D203" t="s">
        <v>680</v>
      </c>
      <c r="E203" t="s">
        <v>1382</v>
      </c>
      <c r="F203" s="229"/>
    </row>
    <row r="204" spans="1:6" x14ac:dyDescent="0.25">
      <c r="A204">
        <v>203</v>
      </c>
      <c r="B204" t="s">
        <v>672</v>
      </c>
      <c r="C204" t="s">
        <v>673</v>
      </c>
      <c r="D204" t="s">
        <v>671</v>
      </c>
      <c r="E204" t="s">
        <v>1383</v>
      </c>
      <c r="F204" s="229"/>
    </row>
    <row r="205" spans="1:6" x14ac:dyDescent="0.25">
      <c r="A205">
        <v>204</v>
      </c>
      <c r="B205" t="s">
        <v>670</v>
      </c>
      <c r="C205" t="s">
        <v>669</v>
      </c>
      <c r="D205" t="s">
        <v>668</v>
      </c>
      <c r="E205" t="s">
        <v>1384</v>
      </c>
      <c r="F205" s="229"/>
    </row>
    <row r="206" spans="1:6" x14ac:dyDescent="0.25">
      <c r="A206">
        <v>205</v>
      </c>
      <c r="B206" t="s">
        <v>666</v>
      </c>
      <c r="C206" t="s">
        <v>667</v>
      </c>
      <c r="D206" t="s">
        <v>665</v>
      </c>
      <c r="E206" t="s">
        <v>1385</v>
      </c>
      <c r="F206" s="229"/>
    </row>
    <row r="207" spans="1:6" x14ac:dyDescent="0.25">
      <c r="A207">
        <v>206</v>
      </c>
      <c r="B207" t="s">
        <v>664</v>
      </c>
      <c r="C207" t="s">
        <v>663</v>
      </c>
      <c r="D207" t="s">
        <v>662</v>
      </c>
      <c r="E207" t="s">
        <v>1386</v>
      </c>
      <c r="F207" s="229"/>
    </row>
    <row r="208" spans="1:6" x14ac:dyDescent="0.25">
      <c r="A208">
        <v>207</v>
      </c>
      <c r="B208" t="s">
        <v>660</v>
      </c>
      <c r="C208" t="s">
        <v>661</v>
      </c>
      <c r="D208" t="s">
        <v>659</v>
      </c>
      <c r="E208" t="s">
        <v>1387</v>
      </c>
      <c r="F208" s="229"/>
    </row>
    <row r="209" spans="1:6" x14ac:dyDescent="0.25">
      <c r="A209">
        <v>208</v>
      </c>
      <c r="B209" t="s">
        <v>658</v>
      </c>
      <c r="C209" t="s">
        <v>657</v>
      </c>
      <c r="D209" t="s">
        <v>656</v>
      </c>
      <c r="E209" t="s">
        <v>1388</v>
      </c>
      <c r="F209" s="229"/>
    </row>
    <row r="210" spans="1:6" x14ac:dyDescent="0.25">
      <c r="A210">
        <v>209</v>
      </c>
      <c r="B210" t="s">
        <v>655</v>
      </c>
      <c r="C210" t="s">
        <v>654</v>
      </c>
      <c r="D210" t="s">
        <v>653</v>
      </c>
      <c r="E210" t="s">
        <v>1389</v>
      </c>
      <c r="F210" s="229"/>
    </row>
    <row r="211" spans="1:6" x14ac:dyDescent="0.25">
      <c r="A211">
        <v>210</v>
      </c>
      <c r="B211" t="s">
        <v>652</v>
      </c>
      <c r="C211" t="s">
        <v>651</v>
      </c>
      <c r="D211" t="s">
        <v>650</v>
      </c>
      <c r="E211" t="s">
        <v>1390</v>
      </c>
      <c r="F211" s="229"/>
    </row>
    <row r="212" spans="1:6" x14ac:dyDescent="0.25">
      <c r="A212">
        <v>211</v>
      </c>
      <c r="B212" t="s">
        <v>649</v>
      </c>
      <c r="C212" t="s">
        <v>648</v>
      </c>
      <c r="D212" t="s">
        <v>647</v>
      </c>
      <c r="E212" t="s">
        <v>1391</v>
      </c>
      <c r="F212" s="229"/>
    </row>
    <row r="213" spans="1:6" x14ac:dyDescent="0.25">
      <c r="A213">
        <v>212</v>
      </c>
      <c r="B213" t="s">
        <v>702</v>
      </c>
      <c r="C213" t="s">
        <v>701</v>
      </c>
      <c r="D213" t="s">
        <v>700</v>
      </c>
      <c r="E213" t="s">
        <v>1392</v>
      </c>
      <c r="F213" s="229"/>
    </row>
    <row r="214" spans="1:6" x14ac:dyDescent="0.25">
      <c r="A214">
        <v>213</v>
      </c>
      <c r="B214" t="s">
        <v>711</v>
      </c>
      <c r="C214" t="s">
        <v>710</v>
      </c>
      <c r="D214" t="s">
        <v>709</v>
      </c>
      <c r="E214" t="s">
        <v>1393</v>
      </c>
      <c r="F214" s="229"/>
    </row>
    <row r="215" spans="1:6" x14ac:dyDescent="0.25">
      <c r="A215">
        <v>214</v>
      </c>
      <c r="B215" t="s">
        <v>708</v>
      </c>
      <c r="C215" t="s">
        <v>707</v>
      </c>
      <c r="D215" t="s">
        <v>706</v>
      </c>
      <c r="E215" t="s">
        <v>1394</v>
      </c>
      <c r="F215" s="229"/>
    </row>
    <row r="216" spans="1:6" x14ac:dyDescent="0.25">
      <c r="A216">
        <v>215</v>
      </c>
      <c r="B216" t="s">
        <v>866</v>
      </c>
      <c r="C216" t="s">
        <v>867</v>
      </c>
      <c r="D216" t="s">
        <v>868</v>
      </c>
      <c r="E216" t="s">
        <v>1395</v>
      </c>
      <c r="F216" s="229"/>
    </row>
    <row r="217" spans="1:6" x14ac:dyDescent="0.25">
      <c r="A217">
        <v>216</v>
      </c>
      <c r="B217" t="s">
        <v>870</v>
      </c>
      <c r="C217" t="s">
        <v>871</v>
      </c>
      <c r="D217" t="s">
        <v>869</v>
      </c>
      <c r="E217" t="s">
        <v>1396</v>
      </c>
      <c r="F217" s="229"/>
    </row>
    <row r="218" spans="1:6" x14ac:dyDescent="0.25">
      <c r="A218">
        <v>217</v>
      </c>
      <c r="B218" t="s">
        <v>705</v>
      </c>
      <c r="C218" t="s">
        <v>704</v>
      </c>
      <c r="D218" t="s">
        <v>703</v>
      </c>
      <c r="E218" t="s">
        <v>1397</v>
      </c>
      <c r="F218" s="229"/>
    </row>
    <row r="219" spans="1:6" x14ac:dyDescent="0.25">
      <c r="A219">
        <v>218</v>
      </c>
      <c r="B219" t="s">
        <v>699</v>
      </c>
      <c r="C219" t="s">
        <v>698</v>
      </c>
      <c r="D219" t="s">
        <v>697</v>
      </c>
      <c r="E219" t="s">
        <v>1398</v>
      </c>
      <c r="F219" s="229"/>
    </row>
    <row r="220" spans="1:6" x14ac:dyDescent="0.25">
      <c r="A220">
        <v>219</v>
      </c>
      <c r="B220" t="s">
        <v>696</v>
      </c>
      <c r="C220" t="s">
        <v>695</v>
      </c>
      <c r="D220" t="s">
        <v>694</v>
      </c>
      <c r="E220" t="s">
        <v>1399</v>
      </c>
      <c r="F220" s="229"/>
    </row>
    <row r="221" spans="1:6" x14ac:dyDescent="0.25">
      <c r="A221">
        <v>220</v>
      </c>
      <c r="B221" s="222" t="s">
        <v>101</v>
      </c>
      <c r="C221" s="222" t="s">
        <v>101</v>
      </c>
      <c r="D221" s="222" t="s">
        <v>101</v>
      </c>
      <c r="E221" t="s">
        <v>101</v>
      </c>
      <c r="F221" s="229"/>
    </row>
    <row r="222" spans="1:6" x14ac:dyDescent="0.25">
      <c r="A222">
        <v>221</v>
      </c>
      <c r="B222" t="s">
        <v>693</v>
      </c>
      <c r="C222" t="s">
        <v>692</v>
      </c>
      <c r="D222" t="s">
        <v>691</v>
      </c>
      <c r="E222" t="s">
        <v>1400</v>
      </c>
      <c r="F222" s="229"/>
    </row>
    <row r="223" spans="1:6" x14ac:dyDescent="0.25">
      <c r="A223">
        <v>222</v>
      </c>
      <c r="B223" t="s">
        <v>712</v>
      </c>
      <c r="C223" t="s">
        <v>690</v>
      </c>
      <c r="D223" t="s">
        <v>689</v>
      </c>
      <c r="E223" t="s">
        <v>1401</v>
      </c>
      <c r="F223" s="229"/>
    </row>
    <row r="224" spans="1:6" x14ac:dyDescent="0.25">
      <c r="A224">
        <v>223</v>
      </c>
      <c r="B224" t="s">
        <v>688</v>
      </c>
      <c r="C224" t="s">
        <v>687</v>
      </c>
      <c r="D224" t="s">
        <v>686</v>
      </c>
      <c r="E224" t="s">
        <v>1402</v>
      </c>
      <c r="F224" s="229"/>
    </row>
    <row r="225" spans="1:6" x14ac:dyDescent="0.25">
      <c r="A225">
        <v>224</v>
      </c>
      <c r="B225" t="s">
        <v>685</v>
      </c>
      <c r="C225" t="s">
        <v>684</v>
      </c>
      <c r="D225" t="s">
        <v>683</v>
      </c>
      <c r="E225" t="s">
        <v>1403</v>
      </c>
      <c r="F225" s="229"/>
    </row>
    <row r="226" spans="1:6" x14ac:dyDescent="0.25">
      <c r="A226">
        <v>225</v>
      </c>
      <c r="B226" t="s">
        <v>715</v>
      </c>
      <c r="C226" t="s">
        <v>714</v>
      </c>
      <c r="D226" t="s">
        <v>713</v>
      </c>
      <c r="E226" t="s">
        <v>1404</v>
      </c>
      <c r="F226" s="229"/>
    </row>
    <row r="227" spans="1:6" x14ac:dyDescent="0.25">
      <c r="A227">
        <v>226</v>
      </c>
      <c r="B227" t="s">
        <v>717</v>
      </c>
      <c r="C227" t="s">
        <v>718</v>
      </c>
      <c r="D227" t="s">
        <v>716</v>
      </c>
      <c r="E227" t="s">
        <v>1405</v>
      </c>
      <c r="F227" s="229"/>
    </row>
    <row r="228" spans="1:6" x14ac:dyDescent="0.25">
      <c r="A228">
        <v>227</v>
      </c>
      <c r="B228" t="s">
        <v>750</v>
      </c>
      <c r="C228" t="s">
        <v>751</v>
      </c>
      <c r="D228" t="s">
        <v>749</v>
      </c>
      <c r="E228" t="s">
        <v>1406</v>
      </c>
      <c r="F228" s="229"/>
    </row>
    <row r="229" spans="1:6" x14ac:dyDescent="0.25">
      <c r="A229">
        <v>228</v>
      </c>
      <c r="B229" t="s">
        <v>849</v>
      </c>
      <c r="C229" t="s">
        <v>850</v>
      </c>
      <c r="D229" t="s">
        <v>851</v>
      </c>
      <c r="E229" t="s">
        <v>1407</v>
      </c>
      <c r="F229" s="229"/>
    </row>
    <row r="230" spans="1:6" x14ac:dyDescent="0.25">
      <c r="A230">
        <v>229</v>
      </c>
      <c r="B230" t="s">
        <v>747</v>
      </c>
      <c r="C230" t="s">
        <v>748</v>
      </c>
      <c r="D230" t="s">
        <v>746</v>
      </c>
      <c r="E230" t="s">
        <v>1408</v>
      </c>
      <c r="F230" s="229"/>
    </row>
    <row r="231" spans="1:6" x14ac:dyDescent="0.25">
      <c r="A231">
        <v>230</v>
      </c>
      <c r="B231" t="s">
        <v>745</v>
      </c>
      <c r="C231" t="s">
        <v>744</v>
      </c>
      <c r="D231" t="s">
        <v>743</v>
      </c>
      <c r="E231" t="s">
        <v>1409</v>
      </c>
      <c r="F231" s="229"/>
    </row>
    <row r="232" spans="1:6" x14ac:dyDescent="0.25">
      <c r="A232">
        <v>231</v>
      </c>
      <c r="B232" t="s">
        <v>742</v>
      </c>
      <c r="C232" t="s">
        <v>741</v>
      </c>
      <c r="D232" t="s">
        <v>740</v>
      </c>
      <c r="E232" t="s">
        <v>1410</v>
      </c>
      <c r="F232" s="229"/>
    </row>
    <row r="233" spans="1:6" x14ac:dyDescent="0.25">
      <c r="A233">
        <v>232</v>
      </c>
      <c r="B233" t="s">
        <v>739</v>
      </c>
      <c r="C233" t="s">
        <v>738</v>
      </c>
      <c r="D233" t="s">
        <v>737</v>
      </c>
      <c r="E233" t="s">
        <v>1411</v>
      </c>
      <c r="F233" s="229"/>
    </row>
    <row r="234" spans="1:6" x14ac:dyDescent="0.25">
      <c r="A234">
        <v>233</v>
      </c>
      <c r="B234" t="s">
        <v>736</v>
      </c>
      <c r="C234" t="s">
        <v>735</v>
      </c>
      <c r="D234" t="s">
        <v>734</v>
      </c>
      <c r="E234" t="s">
        <v>1412</v>
      </c>
      <c r="F234" s="229"/>
    </row>
    <row r="235" spans="1:6" x14ac:dyDescent="0.25">
      <c r="A235">
        <v>234</v>
      </c>
      <c r="B235" t="s">
        <v>733</v>
      </c>
      <c r="C235" t="s">
        <v>732</v>
      </c>
      <c r="D235" t="s">
        <v>731</v>
      </c>
      <c r="E235" t="s">
        <v>1413</v>
      </c>
      <c r="F235" s="229"/>
    </row>
    <row r="236" spans="1:6" x14ac:dyDescent="0.25">
      <c r="A236">
        <v>235</v>
      </c>
      <c r="B236" t="s">
        <v>730</v>
      </c>
      <c r="C236" t="s">
        <v>729</v>
      </c>
      <c r="D236" t="s">
        <v>728</v>
      </c>
      <c r="E236" t="s">
        <v>1414</v>
      </c>
      <c r="F236" s="229"/>
    </row>
    <row r="237" spans="1:6" x14ac:dyDescent="0.25">
      <c r="A237">
        <v>236</v>
      </c>
      <c r="B237" t="s">
        <v>727</v>
      </c>
      <c r="C237" t="s">
        <v>726</v>
      </c>
      <c r="D237" t="s">
        <v>725</v>
      </c>
      <c r="E237" t="s">
        <v>1415</v>
      </c>
      <c r="F237" s="229"/>
    </row>
    <row r="238" spans="1:6" x14ac:dyDescent="0.25">
      <c r="A238">
        <v>237</v>
      </c>
      <c r="B238" t="s">
        <v>723</v>
      </c>
      <c r="C238" t="s">
        <v>724</v>
      </c>
      <c r="D238" t="s">
        <v>722</v>
      </c>
      <c r="E238" t="s">
        <v>1416</v>
      </c>
      <c r="F238" s="229"/>
    </row>
    <row r="239" spans="1:6" x14ac:dyDescent="0.25">
      <c r="A239">
        <v>238</v>
      </c>
      <c r="B239" t="s">
        <v>721</v>
      </c>
      <c r="C239" t="s">
        <v>720</v>
      </c>
      <c r="D239" t="s">
        <v>719</v>
      </c>
      <c r="E239" t="s">
        <v>1417</v>
      </c>
      <c r="F239" s="229"/>
    </row>
    <row r="240" spans="1:6" x14ac:dyDescent="0.25">
      <c r="A240">
        <v>239</v>
      </c>
      <c r="B240" t="s">
        <v>74</v>
      </c>
      <c r="C240" t="s">
        <v>755</v>
      </c>
      <c r="D240" t="s">
        <v>756</v>
      </c>
      <c r="E240" t="s">
        <v>1418</v>
      </c>
      <c r="F240" s="229"/>
    </row>
    <row r="241" spans="1:6" x14ac:dyDescent="0.25">
      <c r="A241">
        <v>240</v>
      </c>
      <c r="B241" t="s">
        <v>758</v>
      </c>
      <c r="C241" t="s">
        <v>24</v>
      </c>
      <c r="D241" t="s">
        <v>757</v>
      </c>
      <c r="E241" t="s">
        <v>1419</v>
      </c>
      <c r="F241" s="229"/>
    </row>
    <row r="242" spans="1:6" x14ac:dyDescent="0.25">
      <c r="A242">
        <v>241</v>
      </c>
      <c r="B242" t="s">
        <v>787</v>
      </c>
      <c r="C242" t="s">
        <v>788</v>
      </c>
      <c r="D242" t="s">
        <v>786</v>
      </c>
      <c r="E242" t="s">
        <v>1420</v>
      </c>
      <c r="F242" s="229"/>
    </row>
    <row r="243" spans="1:6" x14ac:dyDescent="0.25">
      <c r="A243">
        <v>242</v>
      </c>
      <c r="B243" t="s">
        <v>784</v>
      </c>
      <c r="C243" t="s">
        <v>785</v>
      </c>
      <c r="D243" t="s">
        <v>783</v>
      </c>
      <c r="E243" t="s">
        <v>1421</v>
      </c>
      <c r="F243" s="229"/>
    </row>
    <row r="244" spans="1:6" x14ac:dyDescent="0.25">
      <c r="A244">
        <v>243</v>
      </c>
      <c r="B244" t="s">
        <v>781</v>
      </c>
      <c r="C244" t="s">
        <v>782</v>
      </c>
      <c r="D244" t="s">
        <v>780</v>
      </c>
      <c r="E244" t="s">
        <v>1422</v>
      </c>
      <c r="F244" s="229"/>
    </row>
    <row r="245" spans="1:6" x14ac:dyDescent="0.25">
      <c r="A245">
        <v>244</v>
      </c>
      <c r="B245" t="s">
        <v>779</v>
      </c>
      <c r="C245" t="s">
        <v>778</v>
      </c>
      <c r="D245" t="s">
        <v>777</v>
      </c>
      <c r="E245" t="s">
        <v>1423</v>
      </c>
      <c r="F245" s="229"/>
    </row>
    <row r="246" spans="1:6" x14ac:dyDescent="0.25">
      <c r="A246">
        <v>245</v>
      </c>
      <c r="B246" t="s">
        <v>775</v>
      </c>
      <c r="C246" t="s">
        <v>776</v>
      </c>
      <c r="D246" t="s">
        <v>774</v>
      </c>
      <c r="E246" t="s">
        <v>1424</v>
      </c>
      <c r="F246" s="229"/>
    </row>
    <row r="247" spans="1:6" x14ac:dyDescent="0.25">
      <c r="A247">
        <v>246</v>
      </c>
      <c r="B247" t="s">
        <v>772</v>
      </c>
      <c r="C247" t="s">
        <v>773</v>
      </c>
      <c r="D247" t="s">
        <v>771</v>
      </c>
      <c r="E247" t="s">
        <v>1425</v>
      </c>
      <c r="F247" s="229"/>
    </row>
    <row r="248" spans="1:6" x14ac:dyDescent="0.25">
      <c r="A248">
        <v>247</v>
      </c>
      <c r="B248" t="s">
        <v>770</v>
      </c>
      <c r="C248" t="s">
        <v>769</v>
      </c>
      <c r="D248" t="s">
        <v>768</v>
      </c>
      <c r="E248" t="s">
        <v>1426</v>
      </c>
      <c r="F248" s="229"/>
    </row>
    <row r="249" spans="1:6" x14ac:dyDescent="0.25">
      <c r="A249">
        <v>248</v>
      </c>
      <c r="B249" t="s">
        <v>767</v>
      </c>
      <c r="C249" t="s">
        <v>766</v>
      </c>
      <c r="D249" t="s">
        <v>765</v>
      </c>
      <c r="E249" t="s">
        <v>1427</v>
      </c>
      <c r="F249" s="229"/>
    </row>
    <row r="250" spans="1:6" x14ac:dyDescent="0.25">
      <c r="A250">
        <v>249</v>
      </c>
      <c r="B250" t="s">
        <v>763</v>
      </c>
      <c r="C250" t="s">
        <v>764</v>
      </c>
      <c r="D250" t="s">
        <v>762</v>
      </c>
      <c r="E250" t="s">
        <v>1428</v>
      </c>
      <c r="F250" s="229"/>
    </row>
    <row r="251" spans="1:6" x14ac:dyDescent="0.25">
      <c r="A251">
        <v>250</v>
      </c>
      <c r="B251" t="s">
        <v>761</v>
      </c>
      <c r="C251" t="s">
        <v>760</v>
      </c>
      <c r="D251" t="s">
        <v>759</v>
      </c>
      <c r="E251" t="s">
        <v>1429</v>
      </c>
      <c r="F251" s="229"/>
    </row>
    <row r="252" spans="1:6" x14ac:dyDescent="0.25">
      <c r="A252">
        <v>251</v>
      </c>
      <c r="B252" t="s">
        <v>791</v>
      </c>
      <c r="C252" t="s">
        <v>790</v>
      </c>
      <c r="D252" t="s">
        <v>789</v>
      </c>
      <c r="E252" t="s">
        <v>1430</v>
      </c>
      <c r="F252" s="229"/>
    </row>
    <row r="253" spans="1:6" x14ac:dyDescent="0.25">
      <c r="A253">
        <v>252</v>
      </c>
      <c r="B253" t="s">
        <v>794</v>
      </c>
      <c r="C253" t="s">
        <v>793</v>
      </c>
      <c r="D253" t="s">
        <v>792</v>
      </c>
      <c r="E253" t="s">
        <v>1431</v>
      </c>
      <c r="F253" s="229"/>
    </row>
    <row r="254" spans="1:6" x14ac:dyDescent="0.25">
      <c r="A254">
        <v>253</v>
      </c>
      <c r="B254" t="s">
        <v>796</v>
      </c>
      <c r="C254" t="s">
        <v>797</v>
      </c>
      <c r="D254" t="s">
        <v>795</v>
      </c>
      <c r="E254" t="s">
        <v>1432</v>
      </c>
      <c r="F254" s="229"/>
    </row>
    <row r="255" spans="1:6" x14ac:dyDescent="0.25">
      <c r="A255">
        <v>254</v>
      </c>
      <c r="B255" t="s">
        <v>798</v>
      </c>
      <c r="C255" t="s">
        <v>799</v>
      </c>
      <c r="D255" t="s">
        <v>800</v>
      </c>
      <c r="E255" t="s">
        <v>1433</v>
      </c>
      <c r="F255" s="229"/>
    </row>
    <row r="256" spans="1:6" x14ac:dyDescent="0.25">
      <c r="A256">
        <v>255</v>
      </c>
      <c r="B256" t="s">
        <v>803</v>
      </c>
      <c r="C256" t="s">
        <v>802</v>
      </c>
      <c r="D256" t="s">
        <v>801</v>
      </c>
      <c r="E256" t="s">
        <v>1434</v>
      </c>
      <c r="F256" s="229"/>
    </row>
    <row r="257" spans="1:6" x14ac:dyDescent="0.25">
      <c r="A257">
        <v>256</v>
      </c>
      <c r="B257" t="s">
        <v>804</v>
      </c>
      <c r="C257" t="s">
        <v>804</v>
      </c>
      <c r="D257" t="s">
        <v>805</v>
      </c>
      <c r="E257" t="s">
        <v>1435</v>
      </c>
      <c r="F257" s="229"/>
    </row>
    <row r="258" spans="1:6" x14ac:dyDescent="0.25">
      <c r="A258">
        <v>257</v>
      </c>
      <c r="B258" t="s">
        <v>807</v>
      </c>
      <c r="C258" t="s">
        <v>808</v>
      </c>
      <c r="D258" t="s">
        <v>806</v>
      </c>
      <c r="E258" t="s">
        <v>1436</v>
      </c>
      <c r="F258" s="229"/>
    </row>
    <row r="259" spans="1:6" x14ac:dyDescent="0.25">
      <c r="A259">
        <v>258</v>
      </c>
      <c r="B259" t="s">
        <v>810</v>
      </c>
      <c r="C259" t="s">
        <v>811</v>
      </c>
      <c r="D259" t="s">
        <v>809</v>
      </c>
      <c r="E259" t="s">
        <v>1437</v>
      </c>
      <c r="F259" s="229"/>
    </row>
    <row r="260" spans="1:6" x14ac:dyDescent="0.25">
      <c r="A260">
        <v>259</v>
      </c>
      <c r="B260" t="s">
        <v>813</v>
      </c>
      <c r="C260" t="s">
        <v>814</v>
      </c>
      <c r="D260" t="s">
        <v>812</v>
      </c>
      <c r="E260" t="s">
        <v>1438</v>
      </c>
      <c r="F260" s="229"/>
    </row>
    <row r="261" spans="1:6" x14ac:dyDescent="0.25">
      <c r="A261">
        <v>260</v>
      </c>
      <c r="B261" t="s">
        <v>816</v>
      </c>
      <c r="C261" t="s">
        <v>817</v>
      </c>
      <c r="D261" t="s">
        <v>815</v>
      </c>
      <c r="E261" t="s">
        <v>1439</v>
      </c>
      <c r="F261" s="229"/>
    </row>
    <row r="262" spans="1:6" x14ac:dyDescent="0.25">
      <c r="A262">
        <v>261</v>
      </c>
      <c r="B262" t="s">
        <v>820</v>
      </c>
      <c r="C262" t="s">
        <v>819</v>
      </c>
      <c r="D262" t="s">
        <v>818</v>
      </c>
      <c r="E262" t="s">
        <v>1440</v>
      </c>
      <c r="F262" s="229"/>
    </row>
    <row r="263" spans="1:6" x14ac:dyDescent="0.25">
      <c r="A263">
        <v>262</v>
      </c>
      <c r="B263" t="s">
        <v>822</v>
      </c>
      <c r="C263" t="s">
        <v>823</v>
      </c>
      <c r="D263" t="s">
        <v>821</v>
      </c>
      <c r="E263" t="s">
        <v>1441</v>
      </c>
      <c r="F263" s="229"/>
    </row>
    <row r="264" spans="1:6" x14ac:dyDescent="0.25">
      <c r="A264">
        <v>263</v>
      </c>
      <c r="B264" t="s">
        <v>825</v>
      </c>
      <c r="C264" t="s">
        <v>826</v>
      </c>
      <c r="D264" t="s">
        <v>824</v>
      </c>
      <c r="E264" t="s">
        <v>1442</v>
      </c>
      <c r="F264" s="229"/>
    </row>
    <row r="265" spans="1:6" x14ac:dyDescent="0.25">
      <c r="A265">
        <v>264</v>
      </c>
      <c r="B265" t="s">
        <v>837</v>
      </c>
      <c r="C265" t="s">
        <v>835</v>
      </c>
      <c r="D265" t="s">
        <v>836</v>
      </c>
      <c r="E265" t="s">
        <v>1443</v>
      </c>
      <c r="F265" s="229"/>
    </row>
    <row r="266" spans="1:6" x14ac:dyDescent="0.25">
      <c r="A266">
        <v>265</v>
      </c>
      <c r="B266" t="s">
        <v>844</v>
      </c>
      <c r="C266" t="s">
        <v>845</v>
      </c>
      <c r="D266" t="s">
        <v>843</v>
      </c>
      <c r="E266" t="s">
        <v>1444</v>
      </c>
      <c r="F266" s="229"/>
    </row>
    <row r="267" spans="1:6" x14ac:dyDescent="0.25">
      <c r="A267">
        <v>266</v>
      </c>
      <c r="B267" t="s">
        <v>846</v>
      </c>
      <c r="C267" t="s">
        <v>847</v>
      </c>
      <c r="D267" t="s">
        <v>848</v>
      </c>
      <c r="E267" t="s">
        <v>1445</v>
      </c>
      <c r="F267" s="229"/>
    </row>
    <row r="268" spans="1:6" s="283" customFormat="1" ht="45" x14ac:dyDescent="0.25">
      <c r="A268" s="283">
        <v>267</v>
      </c>
      <c r="B268" s="282" t="s">
        <v>1519</v>
      </c>
      <c r="C268" t="s">
        <v>1531</v>
      </c>
      <c r="D268" t="s">
        <v>1525</v>
      </c>
      <c r="E268" s="284" t="s">
        <v>1446</v>
      </c>
    </row>
    <row r="269" spans="1:6" x14ac:dyDescent="0.25">
      <c r="A269">
        <v>268</v>
      </c>
      <c r="B269" t="s">
        <v>892</v>
      </c>
      <c r="C269" t="s">
        <v>893</v>
      </c>
      <c r="D269" t="s">
        <v>894</v>
      </c>
      <c r="E269" t="s">
        <v>1447</v>
      </c>
      <c r="F269" s="229"/>
    </row>
    <row r="270" spans="1:6" x14ac:dyDescent="0.25">
      <c r="A270">
        <v>269</v>
      </c>
      <c r="B270" t="s">
        <v>901</v>
      </c>
      <c r="C270" t="s">
        <v>902</v>
      </c>
      <c r="D270" t="s">
        <v>903</v>
      </c>
      <c r="E270" t="s">
        <v>1448</v>
      </c>
      <c r="F270" s="229"/>
    </row>
    <row r="271" spans="1:6" x14ac:dyDescent="0.25">
      <c r="A271">
        <v>270</v>
      </c>
      <c r="B271" s="59" t="s">
        <v>904</v>
      </c>
      <c r="C271" t="s">
        <v>924</v>
      </c>
      <c r="D271" t="s">
        <v>944</v>
      </c>
      <c r="E271" t="s">
        <v>1449</v>
      </c>
      <c r="F271" s="229"/>
    </row>
    <row r="272" spans="1:6" x14ac:dyDescent="0.25">
      <c r="A272">
        <v>271</v>
      </c>
      <c r="B272" s="59" t="s">
        <v>905</v>
      </c>
      <c r="C272" t="s">
        <v>925</v>
      </c>
      <c r="D272" t="s">
        <v>945</v>
      </c>
      <c r="E272" t="s">
        <v>1450</v>
      </c>
      <c r="F272" s="229"/>
    </row>
    <row r="273" spans="1:6" x14ac:dyDescent="0.25">
      <c r="A273">
        <v>272</v>
      </c>
      <c r="B273" s="59" t="s">
        <v>906</v>
      </c>
      <c r="C273" t="s">
        <v>926</v>
      </c>
      <c r="D273" t="s">
        <v>946</v>
      </c>
      <c r="E273" t="s">
        <v>1451</v>
      </c>
      <c r="F273" s="229"/>
    </row>
    <row r="274" spans="1:6" x14ac:dyDescent="0.25">
      <c r="A274">
        <v>273</v>
      </c>
      <c r="B274" s="59" t="s">
        <v>907</v>
      </c>
      <c r="C274" t="s">
        <v>927</v>
      </c>
      <c r="D274" t="s">
        <v>947</v>
      </c>
      <c r="E274" t="s">
        <v>1452</v>
      </c>
      <c r="F274" s="229"/>
    </row>
    <row r="275" spans="1:6" x14ac:dyDescent="0.25">
      <c r="A275">
        <v>274</v>
      </c>
      <c r="B275" s="59" t="s">
        <v>908</v>
      </c>
      <c r="C275" t="s">
        <v>928</v>
      </c>
      <c r="D275" t="s">
        <v>948</v>
      </c>
      <c r="E275" t="s">
        <v>1453</v>
      </c>
      <c r="F275" s="229"/>
    </row>
    <row r="276" spans="1:6" x14ac:dyDescent="0.25">
      <c r="A276">
        <v>275</v>
      </c>
      <c r="B276" s="59" t="s">
        <v>909</v>
      </c>
      <c r="C276" t="s">
        <v>929</v>
      </c>
      <c r="D276" t="s">
        <v>949</v>
      </c>
      <c r="E276" t="s">
        <v>1454</v>
      </c>
      <c r="F276" s="229"/>
    </row>
    <row r="277" spans="1:6" x14ac:dyDescent="0.25">
      <c r="A277">
        <v>276</v>
      </c>
      <c r="B277" s="59" t="s">
        <v>1012</v>
      </c>
      <c r="C277" t="s">
        <v>1013</v>
      </c>
      <c r="D277" t="s">
        <v>1014</v>
      </c>
      <c r="E277" t="s">
        <v>1455</v>
      </c>
      <c r="F277" s="229"/>
    </row>
    <row r="278" spans="1:6" x14ac:dyDescent="0.25">
      <c r="A278">
        <v>277</v>
      </c>
      <c r="B278" s="59" t="s">
        <v>910</v>
      </c>
      <c r="C278" t="s">
        <v>910</v>
      </c>
      <c r="D278" t="s">
        <v>950</v>
      </c>
      <c r="E278" t="s">
        <v>1456</v>
      </c>
      <c r="F278" s="229"/>
    </row>
    <row r="279" spans="1:6" x14ac:dyDescent="0.25">
      <c r="A279">
        <v>278</v>
      </c>
      <c r="B279" s="59" t="s">
        <v>621</v>
      </c>
      <c r="C279" t="s">
        <v>620</v>
      </c>
      <c r="D279" t="s">
        <v>619</v>
      </c>
      <c r="E279" t="s">
        <v>1370</v>
      </c>
      <c r="F279" s="229"/>
    </row>
    <row r="280" spans="1:6" x14ac:dyDescent="0.25">
      <c r="A280">
        <v>279</v>
      </c>
      <c r="B280" s="59" t="s">
        <v>911</v>
      </c>
      <c r="C280" t="s">
        <v>930</v>
      </c>
      <c r="D280" t="s">
        <v>951</v>
      </c>
      <c r="E280" t="s">
        <v>1457</v>
      </c>
      <c r="F280" s="229"/>
    </row>
    <row r="281" spans="1:6" x14ac:dyDescent="0.25">
      <c r="A281">
        <v>280</v>
      </c>
      <c r="B281" s="59" t="s">
        <v>912</v>
      </c>
      <c r="C281" t="s">
        <v>931</v>
      </c>
      <c r="D281" t="s">
        <v>952</v>
      </c>
      <c r="E281" t="s">
        <v>1458</v>
      </c>
      <c r="F281" s="229"/>
    </row>
    <row r="282" spans="1:6" x14ac:dyDescent="0.25">
      <c r="A282">
        <v>281</v>
      </c>
      <c r="B282" s="59" t="s">
        <v>913</v>
      </c>
      <c r="C282" t="s">
        <v>932</v>
      </c>
      <c r="D282" t="s">
        <v>953</v>
      </c>
      <c r="E282" t="s">
        <v>1459</v>
      </c>
      <c r="F282" s="229"/>
    </row>
    <row r="283" spans="1:6" x14ac:dyDescent="0.25">
      <c r="A283">
        <v>282</v>
      </c>
      <c r="B283" s="59" t="s">
        <v>914</v>
      </c>
      <c r="C283" t="s">
        <v>933</v>
      </c>
      <c r="D283" t="s">
        <v>954</v>
      </c>
      <c r="E283" t="s">
        <v>1460</v>
      </c>
      <c r="F283" s="229"/>
    </row>
    <row r="284" spans="1:6" x14ac:dyDescent="0.25">
      <c r="A284">
        <v>283</v>
      </c>
      <c r="B284" s="59" t="s">
        <v>915</v>
      </c>
      <c r="C284" t="s">
        <v>934</v>
      </c>
      <c r="D284" t="s">
        <v>955</v>
      </c>
      <c r="E284" t="s">
        <v>1461</v>
      </c>
      <c r="F284" s="229"/>
    </row>
    <row r="285" spans="1:6" x14ac:dyDescent="0.25">
      <c r="A285">
        <v>284</v>
      </c>
      <c r="B285" s="59" t="s">
        <v>624</v>
      </c>
      <c r="C285" t="s">
        <v>935</v>
      </c>
      <c r="D285" t="s">
        <v>622</v>
      </c>
      <c r="E285" t="s">
        <v>1371</v>
      </c>
      <c r="F285" s="229"/>
    </row>
    <row r="286" spans="1:6" x14ac:dyDescent="0.25">
      <c r="A286">
        <v>285</v>
      </c>
      <c r="B286" s="59" t="s">
        <v>916</v>
      </c>
      <c r="C286" t="s">
        <v>936</v>
      </c>
      <c r="D286" t="s">
        <v>956</v>
      </c>
      <c r="E286" t="s">
        <v>1462</v>
      </c>
      <c r="F286" s="229"/>
    </row>
    <row r="287" spans="1:6" x14ac:dyDescent="0.25">
      <c r="A287">
        <v>286</v>
      </c>
      <c r="B287" s="59" t="s">
        <v>917</v>
      </c>
      <c r="C287" t="s">
        <v>937</v>
      </c>
      <c r="D287" t="s">
        <v>957</v>
      </c>
      <c r="E287" t="s">
        <v>1463</v>
      </c>
      <c r="F287" s="229"/>
    </row>
    <row r="288" spans="1:6" x14ac:dyDescent="0.25">
      <c r="A288">
        <v>287</v>
      </c>
      <c r="B288" s="59" t="s">
        <v>918</v>
      </c>
      <c r="C288" t="s">
        <v>938</v>
      </c>
      <c r="D288" t="s">
        <v>958</v>
      </c>
      <c r="E288" t="s">
        <v>1464</v>
      </c>
      <c r="F288" s="229"/>
    </row>
    <row r="289" spans="1:6" x14ac:dyDescent="0.25">
      <c r="A289">
        <v>288</v>
      </c>
      <c r="B289" s="59" t="s">
        <v>919</v>
      </c>
      <c r="C289" t="s">
        <v>939</v>
      </c>
      <c r="D289" t="s">
        <v>959</v>
      </c>
      <c r="E289" t="s">
        <v>1465</v>
      </c>
      <c r="F289" s="229"/>
    </row>
    <row r="290" spans="1:6" x14ac:dyDescent="0.25">
      <c r="A290">
        <v>289</v>
      </c>
      <c r="B290" s="59" t="s">
        <v>621</v>
      </c>
      <c r="C290" t="s">
        <v>620</v>
      </c>
      <c r="D290" t="s">
        <v>960</v>
      </c>
      <c r="E290" t="s">
        <v>1466</v>
      </c>
      <c r="F290" s="229"/>
    </row>
    <row r="291" spans="1:6" x14ac:dyDescent="0.25">
      <c r="A291">
        <v>290</v>
      </c>
      <c r="B291" s="59" t="s">
        <v>624</v>
      </c>
      <c r="C291" t="s">
        <v>935</v>
      </c>
      <c r="D291" t="s">
        <v>961</v>
      </c>
      <c r="E291" t="s">
        <v>1467</v>
      </c>
      <c r="F291" s="229"/>
    </row>
    <row r="292" spans="1:6" x14ac:dyDescent="0.25">
      <c r="A292">
        <v>291</v>
      </c>
      <c r="B292" s="59" t="s">
        <v>920</v>
      </c>
      <c r="C292" t="s">
        <v>940</v>
      </c>
      <c r="D292" t="s">
        <v>962</v>
      </c>
      <c r="E292" t="s">
        <v>1468</v>
      </c>
      <c r="F292" s="229"/>
    </row>
    <row r="293" spans="1:6" x14ac:dyDescent="0.25">
      <c r="A293">
        <v>292</v>
      </c>
      <c r="B293" s="59" t="s">
        <v>921</v>
      </c>
      <c r="C293" t="s">
        <v>941</v>
      </c>
      <c r="D293" t="s">
        <v>963</v>
      </c>
      <c r="E293" t="s">
        <v>1469</v>
      </c>
      <c r="F293" s="229"/>
    </row>
    <row r="294" spans="1:6" x14ac:dyDescent="0.25">
      <c r="A294">
        <v>293</v>
      </c>
      <c r="B294" s="59" t="s">
        <v>922</v>
      </c>
      <c r="C294" t="s">
        <v>942</v>
      </c>
      <c r="D294" t="s">
        <v>964</v>
      </c>
      <c r="E294" t="s">
        <v>1470</v>
      </c>
      <c r="F294" s="229"/>
    </row>
    <row r="295" spans="1:6" x14ac:dyDescent="0.25">
      <c r="A295">
        <v>294</v>
      </c>
      <c r="B295" s="59" t="s">
        <v>923</v>
      </c>
      <c r="C295" t="s">
        <v>943</v>
      </c>
      <c r="D295" t="s">
        <v>965</v>
      </c>
      <c r="E295" t="s">
        <v>1471</v>
      </c>
      <c r="F295" s="229"/>
    </row>
    <row r="296" spans="1:6" ht="24" x14ac:dyDescent="0.45">
      <c r="A296">
        <v>295</v>
      </c>
      <c r="B296" s="59" t="s">
        <v>966</v>
      </c>
      <c r="C296" s="241" t="s">
        <v>977</v>
      </c>
      <c r="D296" s="241" t="s">
        <v>976</v>
      </c>
      <c r="E296" t="s">
        <v>1472</v>
      </c>
      <c r="F296" s="229"/>
    </row>
    <row r="297" spans="1:6" x14ac:dyDescent="0.25">
      <c r="A297">
        <v>296</v>
      </c>
      <c r="B297" s="59" t="s">
        <v>973</v>
      </c>
      <c r="C297" t="s">
        <v>974</v>
      </c>
      <c r="D297" t="s">
        <v>975</v>
      </c>
      <c r="E297" t="s">
        <v>1473</v>
      </c>
      <c r="F297" s="229"/>
    </row>
    <row r="298" spans="1:6" x14ac:dyDescent="0.25">
      <c r="A298">
        <v>297</v>
      </c>
      <c r="B298" t="s">
        <v>967</v>
      </c>
      <c r="C298" t="s">
        <v>971</v>
      </c>
      <c r="D298" t="s">
        <v>969</v>
      </c>
      <c r="E298" s="242" t="s">
        <v>1474</v>
      </c>
      <c r="F298" s="229"/>
    </row>
    <row r="299" spans="1:6" x14ac:dyDescent="0.25">
      <c r="A299">
        <v>298</v>
      </c>
      <c r="B299" t="s">
        <v>968</v>
      </c>
      <c r="C299" t="s">
        <v>972</v>
      </c>
      <c r="D299" t="s">
        <v>970</v>
      </c>
      <c r="E299" s="242" t="s">
        <v>1475</v>
      </c>
      <c r="F299" s="229"/>
    </row>
    <row r="300" spans="1:6" x14ac:dyDescent="0.25">
      <c r="A300">
        <v>299</v>
      </c>
      <c r="B300" s="59" t="s">
        <v>978</v>
      </c>
      <c r="C300" t="s">
        <v>981</v>
      </c>
      <c r="D300" t="s">
        <v>983</v>
      </c>
      <c r="E300" t="s">
        <v>1476</v>
      </c>
      <c r="F300" s="229"/>
    </row>
    <row r="301" spans="1:6" x14ac:dyDescent="0.25">
      <c r="A301">
        <v>300</v>
      </c>
      <c r="B301" s="59" t="s">
        <v>979</v>
      </c>
      <c r="C301" t="s">
        <v>979</v>
      </c>
      <c r="D301" t="s">
        <v>984</v>
      </c>
      <c r="E301" t="s">
        <v>1477</v>
      </c>
      <c r="F301" s="229"/>
    </row>
    <row r="302" spans="1:6" x14ac:dyDescent="0.25">
      <c r="A302">
        <v>301</v>
      </c>
      <c r="B302" s="59" t="s">
        <v>980</v>
      </c>
      <c r="C302" t="s">
        <v>980</v>
      </c>
      <c r="D302" t="s">
        <v>985</v>
      </c>
      <c r="E302" t="s">
        <v>1478</v>
      </c>
      <c r="F302" s="229"/>
    </row>
    <row r="303" spans="1:6" x14ac:dyDescent="0.25">
      <c r="A303">
        <v>302</v>
      </c>
      <c r="B303" s="59" t="s">
        <v>990</v>
      </c>
      <c r="C303" t="s">
        <v>982</v>
      </c>
      <c r="D303" t="s">
        <v>995</v>
      </c>
      <c r="E303" t="s">
        <v>1479</v>
      </c>
      <c r="F303" s="229"/>
    </row>
    <row r="304" spans="1:6" x14ac:dyDescent="0.25">
      <c r="A304">
        <v>303</v>
      </c>
      <c r="B304" s="59" t="s">
        <v>986</v>
      </c>
      <c r="C304" t="s">
        <v>996</v>
      </c>
      <c r="D304" t="s">
        <v>991</v>
      </c>
      <c r="E304" t="s">
        <v>1480</v>
      </c>
      <c r="F304" s="229"/>
    </row>
    <row r="305" spans="1:6" x14ac:dyDescent="0.25">
      <c r="A305">
        <v>304</v>
      </c>
      <c r="B305" s="59" t="s">
        <v>987</v>
      </c>
      <c r="C305" t="s">
        <v>997</v>
      </c>
      <c r="D305" t="s">
        <v>992</v>
      </c>
      <c r="E305" t="s">
        <v>1481</v>
      </c>
      <c r="F305" s="229"/>
    </row>
    <row r="306" spans="1:6" x14ac:dyDescent="0.25">
      <c r="A306">
        <v>305</v>
      </c>
      <c r="B306" s="59" t="s">
        <v>988</v>
      </c>
      <c r="C306" t="s">
        <v>998</v>
      </c>
      <c r="D306" t="s">
        <v>993</v>
      </c>
      <c r="E306" t="s">
        <v>1482</v>
      </c>
      <c r="F306" s="229"/>
    </row>
    <row r="307" spans="1:6" x14ac:dyDescent="0.25">
      <c r="A307">
        <v>306</v>
      </c>
      <c r="B307" s="59" t="s">
        <v>989</v>
      </c>
      <c r="C307" t="s">
        <v>999</v>
      </c>
      <c r="D307" t="s">
        <v>994</v>
      </c>
      <c r="E307" t="s">
        <v>1483</v>
      </c>
      <c r="F307" s="229"/>
    </row>
    <row r="308" spans="1:6" x14ac:dyDescent="0.25">
      <c r="A308">
        <v>307</v>
      </c>
      <c r="B308" s="59" t="s">
        <v>980</v>
      </c>
      <c r="C308" t="s">
        <v>980</v>
      </c>
      <c r="D308" t="s">
        <v>985</v>
      </c>
      <c r="E308" t="s">
        <v>1478</v>
      </c>
      <c r="F308" s="229"/>
    </row>
    <row r="309" spans="1:6" x14ac:dyDescent="0.25">
      <c r="A309">
        <v>308</v>
      </c>
      <c r="B309" s="59" t="s">
        <v>979</v>
      </c>
      <c r="C309" t="s">
        <v>1000</v>
      </c>
      <c r="D309" t="s">
        <v>984</v>
      </c>
      <c r="E309" t="s">
        <v>1477</v>
      </c>
      <c r="F309" s="229"/>
    </row>
    <row r="310" spans="1:6" x14ac:dyDescent="0.25">
      <c r="A310">
        <v>309</v>
      </c>
      <c r="B310" s="59" t="s">
        <v>990</v>
      </c>
      <c r="C310" t="s">
        <v>982</v>
      </c>
      <c r="D310" t="s">
        <v>995</v>
      </c>
      <c r="E310" t="s">
        <v>1479</v>
      </c>
      <c r="F310" s="229"/>
    </row>
    <row r="311" spans="1:6" x14ac:dyDescent="0.25">
      <c r="A311">
        <v>310</v>
      </c>
      <c r="B311" s="59" t="s">
        <v>1002</v>
      </c>
      <c r="C311" t="s">
        <v>1003</v>
      </c>
      <c r="D311" t="s">
        <v>1004</v>
      </c>
      <c r="E311" t="s">
        <v>1484</v>
      </c>
      <c r="F311" s="229"/>
    </row>
    <row r="312" spans="1:6" ht="60" x14ac:dyDescent="0.25">
      <c r="A312">
        <v>311</v>
      </c>
      <c r="B312" s="59" t="s">
        <v>1009</v>
      </c>
      <c r="C312" s="45" t="s">
        <v>1011</v>
      </c>
      <c r="D312" t="s">
        <v>1010</v>
      </c>
      <c r="E312" t="s">
        <v>1485</v>
      </c>
      <c r="F312" s="229"/>
    </row>
    <row r="313" spans="1:6" ht="24" x14ac:dyDescent="0.45">
      <c r="A313">
        <v>312</v>
      </c>
      <c r="B313" s="59" t="s">
        <v>1015</v>
      </c>
      <c r="C313" t="s">
        <v>1017</v>
      </c>
      <c r="D313" s="241" t="s">
        <v>1016</v>
      </c>
      <c r="E313" t="s">
        <v>1486</v>
      </c>
      <c r="F313" s="229"/>
    </row>
    <row r="314" spans="1:6" x14ac:dyDescent="0.25">
      <c r="A314">
        <v>313</v>
      </c>
      <c r="B314" s="59" t="s">
        <v>621</v>
      </c>
      <c r="C314" t="s">
        <v>620</v>
      </c>
      <c r="D314" t="s">
        <v>619</v>
      </c>
      <c r="E314" t="s">
        <v>1370</v>
      </c>
      <c r="F314" s="229"/>
    </row>
    <row r="315" spans="1:6" x14ac:dyDescent="0.25">
      <c r="A315">
        <v>314</v>
      </c>
      <c r="B315" t="s">
        <v>1019</v>
      </c>
      <c r="C315" t="s">
        <v>1020</v>
      </c>
      <c r="D315" t="s">
        <v>1021</v>
      </c>
      <c r="E315" t="s">
        <v>1487</v>
      </c>
      <c r="F315" s="229"/>
    </row>
    <row r="316" spans="1:6" x14ac:dyDescent="0.25">
      <c r="A316">
        <v>315</v>
      </c>
      <c r="B316" t="s">
        <v>1022</v>
      </c>
      <c r="C316" t="s">
        <v>1023</v>
      </c>
      <c r="D316" t="s">
        <v>1024</v>
      </c>
      <c r="E316" t="s">
        <v>1488</v>
      </c>
      <c r="F316" s="229"/>
    </row>
    <row r="317" spans="1:6" x14ac:dyDescent="0.25">
      <c r="A317">
        <v>316</v>
      </c>
      <c r="B317" t="s">
        <v>913</v>
      </c>
      <c r="C317" t="s">
        <v>932</v>
      </c>
      <c r="D317" t="s">
        <v>1018</v>
      </c>
      <c r="E317" t="s">
        <v>1489</v>
      </c>
      <c r="F317" s="229"/>
    </row>
    <row r="318" spans="1:6" x14ac:dyDescent="0.25">
      <c r="A318">
        <v>317</v>
      </c>
      <c r="B318" t="s">
        <v>914</v>
      </c>
      <c r="C318" t="s">
        <v>933</v>
      </c>
      <c r="D318" t="s">
        <v>954</v>
      </c>
      <c r="E318" t="s">
        <v>1460</v>
      </c>
      <c r="F318" s="229"/>
    </row>
    <row r="319" spans="1:6" x14ac:dyDescent="0.25">
      <c r="A319">
        <v>318</v>
      </c>
      <c r="B319" t="s">
        <v>1029</v>
      </c>
      <c r="C319" t="s">
        <v>1030</v>
      </c>
      <c r="D319" t="s">
        <v>1031</v>
      </c>
      <c r="E319" t="s">
        <v>1490</v>
      </c>
      <c r="F319" s="229"/>
    </row>
    <row r="320" spans="1:6" x14ac:dyDescent="0.25">
      <c r="A320">
        <v>319</v>
      </c>
      <c r="B320" t="s">
        <v>1026</v>
      </c>
      <c r="C320" t="s">
        <v>1026</v>
      </c>
      <c r="D320" t="s">
        <v>1027</v>
      </c>
      <c r="E320" t="s">
        <v>1491</v>
      </c>
      <c r="F320" s="229"/>
    </row>
    <row r="321" spans="1:6" x14ac:dyDescent="0.25">
      <c r="A321">
        <v>320</v>
      </c>
      <c r="B321" t="s">
        <v>1025</v>
      </c>
      <c r="C321" t="s">
        <v>1025</v>
      </c>
      <c r="D321" t="s">
        <v>1028</v>
      </c>
      <c r="E321" t="s">
        <v>1492</v>
      </c>
      <c r="F321" s="229"/>
    </row>
    <row r="322" spans="1:6" x14ac:dyDescent="0.25">
      <c r="A322">
        <v>321</v>
      </c>
      <c r="B322" t="s">
        <v>1035</v>
      </c>
      <c r="C322" t="s">
        <v>1036</v>
      </c>
      <c r="D322" t="s">
        <v>1037</v>
      </c>
      <c r="E322" t="s">
        <v>1493</v>
      </c>
      <c r="F322" s="229"/>
    </row>
    <row r="323" spans="1:6" x14ac:dyDescent="0.25">
      <c r="A323">
        <v>322</v>
      </c>
      <c r="B323" t="s">
        <v>624</v>
      </c>
      <c r="C323" t="s">
        <v>935</v>
      </c>
      <c r="D323" t="s">
        <v>622</v>
      </c>
      <c r="E323" t="s">
        <v>1371</v>
      </c>
      <c r="F323" s="229"/>
    </row>
    <row r="324" spans="1:6" x14ac:dyDescent="0.25">
      <c r="A324">
        <v>323</v>
      </c>
      <c r="B324" s="248" t="s">
        <v>916</v>
      </c>
      <c r="C324" t="s">
        <v>936</v>
      </c>
      <c r="D324" t="s">
        <v>956</v>
      </c>
      <c r="E324" t="s">
        <v>1462</v>
      </c>
      <c r="F324" s="229"/>
    </row>
    <row r="325" spans="1:6" x14ac:dyDescent="0.25">
      <c r="A325">
        <v>324</v>
      </c>
      <c r="B325" t="s">
        <v>1032</v>
      </c>
      <c r="C325" t="s">
        <v>1033</v>
      </c>
      <c r="D325" t="s">
        <v>1034</v>
      </c>
      <c r="E325" t="s">
        <v>1494</v>
      </c>
      <c r="F325" s="229"/>
    </row>
    <row r="326" spans="1:6" x14ac:dyDescent="0.25">
      <c r="A326">
        <v>325</v>
      </c>
      <c r="B326" t="s">
        <v>486</v>
      </c>
      <c r="C326" t="s">
        <v>486</v>
      </c>
      <c r="D326" t="s">
        <v>488</v>
      </c>
      <c r="E326" s="252" t="s">
        <v>1288</v>
      </c>
      <c r="F326" s="229"/>
    </row>
    <row r="327" spans="1:6" x14ac:dyDescent="0.25">
      <c r="A327">
        <v>326</v>
      </c>
      <c r="B327" s="249" t="s">
        <v>487</v>
      </c>
      <c r="C327" t="s">
        <v>487</v>
      </c>
      <c r="D327" t="s">
        <v>489</v>
      </c>
      <c r="E327" s="252" t="s">
        <v>1289</v>
      </c>
      <c r="F327" s="229"/>
    </row>
    <row r="328" spans="1:6" x14ac:dyDescent="0.25">
      <c r="A328">
        <v>327</v>
      </c>
      <c r="B328" t="s">
        <v>1140</v>
      </c>
      <c r="C328" t="s">
        <v>1140</v>
      </c>
      <c r="D328" t="s">
        <v>1123</v>
      </c>
      <c r="E328" s="252" t="s">
        <v>1495</v>
      </c>
      <c r="F328" s="229"/>
    </row>
    <row r="329" spans="1:6" x14ac:dyDescent="0.25">
      <c r="A329">
        <v>328</v>
      </c>
      <c r="B329" t="s">
        <v>1156</v>
      </c>
      <c r="C329" t="s">
        <v>1141</v>
      </c>
      <c r="D329" t="s">
        <v>1124</v>
      </c>
      <c r="E329" s="252" t="s">
        <v>1496</v>
      </c>
      <c r="F329" s="229"/>
    </row>
    <row r="330" spans="1:6" x14ac:dyDescent="0.25">
      <c r="A330">
        <v>329</v>
      </c>
      <c r="B330" t="s">
        <v>1157</v>
      </c>
      <c r="C330" t="s">
        <v>1142</v>
      </c>
      <c r="D330" t="s">
        <v>1125</v>
      </c>
      <c r="E330" s="252" t="s">
        <v>1497</v>
      </c>
      <c r="F330" s="229"/>
    </row>
    <row r="331" spans="1:6" x14ac:dyDescent="0.25">
      <c r="A331">
        <v>330</v>
      </c>
      <c r="B331" t="s">
        <v>1158</v>
      </c>
      <c r="C331" t="s">
        <v>1143</v>
      </c>
      <c r="D331" t="s">
        <v>1126</v>
      </c>
      <c r="E331" s="252" t="s">
        <v>1498</v>
      </c>
      <c r="F331" s="229"/>
    </row>
    <row r="332" spans="1:6" x14ac:dyDescent="0.25">
      <c r="A332">
        <v>331</v>
      </c>
      <c r="B332" t="s">
        <v>1159</v>
      </c>
      <c r="C332" t="s">
        <v>1144</v>
      </c>
      <c r="D332" t="s">
        <v>1127</v>
      </c>
      <c r="E332" s="252" t="s">
        <v>1499</v>
      </c>
      <c r="F332" s="229"/>
    </row>
    <row r="333" spans="1:6" x14ac:dyDescent="0.25">
      <c r="A333">
        <v>332</v>
      </c>
      <c r="B333" t="s">
        <v>1145</v>
      </c>
      <c r="C333" t="s">
        <v>1145</v>
      </c>
      <c r="D333" t="s">
        <v>1128</v>
      </c>
      <c r="E333" s="252" t="s">
        <v>1500</v>
      </c>
      <c r="F333" s="229"/>
    </row>
    <row r="334" spans="1:6" x14ac:dyDescent="0.25">
      <c r="A334">
        <v>333</v>
      </c>
      <c r="B334" t="s">
        <v>1160</v>
      </c>
      <c r="C334" t="s">
        <v>1146</v>
      </c>
      <c r="D334" t="s">
        <v>1129</v>
      </c>
      <c r="E334" s="252" t="s">
        <v>1501</v>
      </c>
      <c r="F334" s="229"/>
    </row>
    <row r="335" spans="1:6" x14ac:dyDescent="0.25">
      <c r="A335">
        <v>334</v>
      </c>
      <c r="B335" t="s">
        <v>1161</v>
      </c>
      <c r="C335" t="s">
        <v>1130</v>
      </c>
      <c r="D335" t="s">
        <v>1130</v>
      </c>
      <c r="E335" s="252" t="s">
        <v>1502</v>
      </c>
      <c r="F335" s="229"/>
    </row>
    <row r="336" spans="1:6" x14ac:dyDescent="0.25">
      <c r="A336">
        <v>335</v>
      </c>
      <c r="B336" t="s">
        <v>1147</v>
      </c>
      <c r="C336" t="s">
        <v>1147</v>
      </c>
      <c r="D336" t="s">
        <v>1131</v>
      </c>
      <c r="E336" s="252" t="s">
        <v>1503</v>
      </c>
      <c r="F336" s="229"/>
    </row>
    <row r="337" spans="1:6" x14ac:dyDescent="0.25">
      <c r="A337">
        <v>336</v>
      </c>
      <c r="B337" t="s">
        <v>1162</v>
      </c>
      <c r="C337" t="s">
        <v>1148</v>
      </c>
      <c r="D337" t="s">
        <v>1132</v>
      </c>
      <c r="E337" s="252" t="s">
        <v>1504</v>
      </c>
      <c r="F337" s="229"/>
    </row>
    <row r="338" spans="1:6" x14ac:dyDescent="0.25">
      <c r="A338">
        <v>337</v>
      </c>
      <c r="B338" t="s">
        <v>1163</v>
      </c>
      <c r="C338" t="s">
        <v>1149</v>
      </c>
      <c r="D338" t="s">
        <v>1133</v>
      </c>
      <c r="E338" s="252" t="s">
        <v>1505</v>
      </c>
      <c r="F338" s="229"/>
    </row>
    <row r="339" spans="1:6" x14ac:dyDescent="0.25">
      <c r="A339">
        <v>338</v>
      </c>
      <c r="B339" t="s">
        <v>1150</v>
      </c>
      <c r="C339" t="s">
        <v>1150</v>
      </c>
      <c r="D339" t="s">
        <v>1134</v>
      </c>
      <c r="E339" s="252" t="s">
        <v>1506</v>
      </c>
      <c r="F339" s="229"/>
    </row>
    <row r="340" spans="1:6" x14ac:dyDescent="0.25">
      <c r="A340">
        <v>339</v>
      </c>
      <c r="B340" t="s">
        <v>1151</v>
      </c>
      <c r="C340" t="s">
        <v>1151</v>
      </c>
      <c r="D340" t="s">
        <v>1135</v>
      </c>
      <c r="E340" s="252" t="s">
        <v>1507</v>
      </c>
      <c r="F340" s="229"/>
    </row>
    <row r="341" spans="1:6" x14ac:dyDescent="0.25">
      <c r="A341">
        <v>340</v>
      </c>
      <c r="B341" t="s">
        <v>1164</v>
      </c>
      <c r="C341" t="s">
        <v>1152</v>
      </c>
      <c r="D341" t="s">
        <v>1136</v>
      </c>
      <c r="E341" s="252" t="s">
        <v>1508</v>
      </c>
      <c r="F341" s="229"/>
    </row>
    <row r="342" spans="1:6" x14ac:dyDescent="0.25">
      <c r="A342">
        <v>341</v>
      </c>
      <c r="B342" t="s">
        <v>1153</v>
      </c>
      <c r="C342" t="s">
        <v>1153</v>
      </c>
      <c r="D342" t="s">
        <v>1137</v>
      </c>
      <c r="E342" s="252" t="s">
        <v>1509</v>
      </c>
      <c r="F342" s="229"/>
    </row>
    <row r="343" spans="1:6" x14ac:dyDescent="0.25">
      <c r="A343">
        <v>342</v>
      </c>
      <c r="B343" t="s">
        <v>1154</v>
      </c>
      <c r="C343" t="s">
        <v>1154</v>
      </c>
      <c r="D343" t="s">
        <v>1138</v>
      </c>
      <c r="E343" s="252" t="s">
        <v>1510</v>
      </c>
      <c r="F343" s="229"/>
    </row>
    <row r="344" spans="1:6" x14ac:dyDescent="0.25">
      <c r="A344">
        <v>343</v>
      </c>
      <c r="B344" t="s">
        <v>1155</v>
      </c>
      <c r="C344" t="s">
        <v>1155</v>
      </c>
      <c r="D344" t="s">
        <v>1139</v>
      </c>
      <c r="E344" s="252" t="s">
        <v>1511</v>
      </c>
      <c r="F344" s="229"/>
    </row>
    <row r="345" spans="1:6" x14ac:dyDescent="0.25">
      <c r="A345">
        <v>344</v>
      </c>
      <c r="B345" s="266" t="s">
        <v>1091</v>
      </c>
      <c r="C345" t="s">
        <v>1170</v>
      </c>
      <c r="D345" t="s">
        <v>1165</v>
      </c>
      <c r="E345" t="s">
        <v>1512</v>
      </c>
      <c r="F345" s="229"/>
    </row>
    <row r="346" spans="1:6" x14ac:dyDescent="0.25">
      <c r="A346">
        <v>345</v>
      </c>
      <c r="B346" s="266" t="s">
        <v>1092</v>
      </c>
      <c r="C346" t="s">
        <v>1171</v>
      </c>
      <c r="D346" t="s">
        <v>1166</v>
      </c>
      <c r="E346" t="s">
        <v>1513</v>
      </c>
      <c r="F346" s="229"/>
    </row>
    <row r="347" spans="1:6" x14ac:dyDescent="0.25">
      <c r="A347">
        <v>346</v>
      </c>
      <c r="B347" s="266" t="s">
        <v>1093</v>
      </c>
      <c r="C347" t="s">
        <v>1172</v>
      </c>
      <c r="D347" t="s">
        <v>1167</v>
      </c>
      <c r="E347" t="s">
        <v>1514</v>
      </c>
      <c r="F347" s="229"/>
    </row>
    <row r="348" spans="1:6" x14ac:dyDescent="0.25">
      <c r="A348">
        <v>347</v>
      </c>
      <c r="B348" s="266" t="s">
        <v>1094</v>
      </c>
      <c r="C348" t="s">
        <v>1094</v>
      </c>
      <c r="D348" t="s">
        <v>1168</v>
      </c>
      <c r="E348" t="s">
        <v>1515</v>
      </c>
      <c r="F348" s="229"/>
    </row>
    <row r="349" spans="1:6" x14ac:dyDescent="0.25">
      <c r="A349">
        <v>348</v>
      </c>
      <c r="B349" s="266" t="s">
        <v>1095</v>
      </c>
      <c r="C349" t="s">
        <v>1173</v>
      </c>
      <c r="D349" t="s">
        <v>1169</v>
      </c>
      <c r="E349" t="s">
        <v>1516</v>
      </c>
      <c r="F349" s="229"/>
    </row>
    <row r="350" spans="1:6" x14ac:dyDescent="0.25">
      <c r="A350">
        <v>349</v>
      </c>
      <c r="B350" s="280" t="s">
        <v>1184</v>
      </c>
      <c r="C350" t="s">
        <v>1186</v>
      </c>
      <c r="D350" t="s">
        <v>1185</v>
      </c>
      <c r="E350" t="s">
        <v>1517</v>
      </c>
      <c r="F350" s="229"/>
    </row>
    <row r="351" spans="1:6" x14ac:dyDescent="0.25">
      <c r="A351">
        <v>350</v>
      </c>
      <c r="B351" s="280" t="s">
        <v>1536</v>
      </c>
      <c r="C351" s="280" t="s">
        <v>1536</v>
      </c>
      <c r="D351" t="s">
        <v>1537</v>
      </c>
      <c r="F351" s="229"/>
    </row>
    <row r="352" spans="1:6" x14ac:dyDescent="0.25">
      <c r="A352">
        <v>351</v>
      </c>
      <c r="B352" s="280" t="s">
        <v>1538</v>
      </c>
      <c r="C352" t="s">
        <v>1541</v>
      </c>
      <c r="D352" t="s">
        <v>1544</v>
      </c>
      <c r="F352" s="229"/>
    </row>
    <row r="353" spans="1:6" x14ac:dyDescent="0.25">
      <c r="A353">
        <v>352</v>
      </c>
      <c r="B353" s="280" t="s">
        <v>1539</v>
      </c>
      <c r="C353" t="s">
        <v>1542</v>
      </c>
      <c r="D353" t="s">
        <v>1545</v>
      </c>
      <c r="F353" s="229"/>
    </row>
    <row r="354" spans="1:6" x14ac:dyDescent="0.25">
      <c r="A354">
        <v>353</v>
      </c>
      <c r="B354" s="280" t="s">
        <v>1540</v>
      </c>
      <c r="C354" t="s">
        <v>1543</v>
      </c>
      <c r="D354" t="s">
        <v>1546</v>
      </c>
      <c r="F354" s="229"/>
    </row>
    <row r="355" spans="1:6" x14ac:dyDescent="0.25">
      <c r="A355">
        <v>354</v>
      </c>
      <c r="B355" s="280" t="s">
        <v>1550</v>
      </c>
      <c r="C355" t="s">
        <v>1551</v>
      </c>
      <c r="D355" t="s">
        <v>1552</v>
      </c>
      <c r="F355" s="229"/>
    </row>
    <row r="356" spans="1:6" x14ac:dyDescent="0.25">
      <c r="A356">
        <v>355</v>
      </c>
      <c r="F356" s="229"/>
    </row>
    <row r="357" spans="1:6" x14ac:dyDescent="0.25">
      <c r="A357">
        <v>356</v>
      </c>
      <c r="F357" s="229"/>
    </row>
    <row r="358" spans="1:6" x14ac:dyDescent="0.25">
      <c r="A358">
        <v>357</v>
      </c>
      <c r="F358" s="229"/>
    </row>
    <row r="359" spans="1:6" x14ac:dyDescent="0.25">
      <c r="A359">
        <v>358</v>
      </c>
    </row>
    <row r="360" spans="1:6" x14ac:dyDescent="0.25">
      <c r="A360">
        <v>359</v>
      </c>
    </row>
    <row r="361" spans="1:6" x14ac:dyDescent="0.25">
      <c r="A361">
        <v>360</v>
      </c>
    </row>
    <row r="362" spans="1:6" x14ac:dyDescent="0.25">
      <c r="A362">
        <v>361</v>
      </c>
    </row>
    <row r="363" spans="1:6" x14ac:dyDescent="0.25">
      <c r="A363">
        <v>362</v>
      </c>
    </row>
    <row r="364" spans="1:6" x14ac:dyDescent="0.25">
      <c r="A364">
        <v>363</v>
      </c>
    </row>
    <row r="365" spans="1:6" x14ac:dyDescent="0.25">
      <c r="A365">
        <v>364</v>
      </c>
    </row>
    <row r="366" spans="1:6" x14ac:dyDescent="0.25">
      <c r="A366">
        <v>365</v>
      </c>
    </row>
    <row r="367" spans="1:6" x14ac:dyDescent="0.25">
      <c r="A367">
        <v>366</v>
      </c>
    </row>
    <row r="368" spans="1:6" x14ac:dyDescent="0.25">
      <c r="A368">
        <v>367</v>
      </c>
    </row>
    <row r="369" spans="1:1" x14ac:dyDescent="0.25">
      <c r="A369">
        <v>368</v>
      </c>
    </row>
    <row r="370" spans="1:1" x14ac:dyDescent="0.25">
      <c r="A370">
        <v>369</v>
      </c>
    </row>
    <row r="371" spans="1:1" x14ac:dyDescent="0.25">
      <c r="A371">
        <v>370</v>
      </c>
    </row>
    <row r="372" spans="1:1" x14ac:dyDescent="0.25">
      <c r="A372">
        <v>371</v>
      </c>
    </row>
    <row r="373" spans="1:1" x14ac:dyDescent="0.25">
      <c r="A373">
        <v>372</v>
      </c>
    </row>
    <row r="374" spans="1:1" x14ac:dyDescent="0.25">
      <c r="A374">
        <v>373</v>
      </c>
    </row>
    <row r="375" spans="1:1" x14ac:dyDescent="0.25">
      <c r="A375">
        <v>374</v>
      </c>
    </row>
    <row r="376" spans="1:1" x14ac:dyDescent="0.25">
      <c r="A376">
        <v>375</v>
      </c>
    </row>
    <row r="377" spans="1:1" x14ac:dyDescent="0.25">
      <c r="A377">
        <v>376</v>
      </c>
    </row>
    <row r="378" spans="1:1" x14ac:dyDescent="0.25">
      <c r="A378">
        <v>377</v>
      </c>
    </row>
    <row r="379" spans="1:1" x14ac:dyDescent="0.25">
      <c r="A379">
        <v>378</v>
      </c>
    </row>
    <row r="380" spans="1:1" x14ac:dyDescent="0.25">
      <c r="A380">
        <v>379</v>
      </c>
    </row>
    <row r="381" spans="1:1" x14ac:dyDescent="0.25">
      <c r="A381">
        <v>380</v>
      </c>
    </row>
    <row r="382" spans="1:1" x14ac:dyDescent="0.25">
      <c r="A382">
        <v>381</v>
      </c>
    </row>
    <row r="383" spans="1:1" x14ac:dyDescent="0.25">
      <c r="A383">
        <v>382</v>
      </c>
    </row>
    <row r="384" spans="1:1" x14ac:dyDescent="0.25">
      <c r="A384">
        <v>383</v>
      </c>
    </row>
    <row r="385" spans="1:1" x14ac:dyDescent="0.25">
      <c r="A385">
        <v>384</v>
      </c>
    </row>
    <row r="386" spans="1:1" x14ac:dyDescent="0.25">
      <c r="A386">
        <v>385</v>
      </c>
    </row>
    <row r="387" spans="1:1" x14ac:dyDescent="0.25">
      <c r="A387">
        <v>386</v>
      </c>
    </row>
    <row r="388" spans="1:1" x14ac:dyDescent="0.25">
      <c r="A388">
        <v>387</v>
      </c>
    </row>
    <row r="389" spans="1:1" x14ac:dyDescent="0.25">
      <c r="A389">
        <v>388</v>
      </c>
    </row>
    <row r="390" spans="1:1" x14ac:dyDescent="0.25">
      <c r="A390">
        <v>389</v>
      </c>
    </row>
    <row r="391" spans="1:1" x14ac:dyDescent="0.25">
      <c r="A391">
        <v>390</v>
      </c>
    </row>
    <row r="392" spans="1:1" x14ac:dyDescent="0.25">
      <c r="A392">
        <v>391</v>
      </c>
    </row>
    <row r="393" spans="1:1" x14ac:dyDescent="0.25">
      <c r="A393">
        <v>392</v>
      </c>
    </row>
    <row r="394" spans="1:1" x14ac:dyDescent="0.25">
      <c r="A394">
        <v>393</v>
      </c>
    </row>
    <row r="395" spans="1:1" x14ac:dyDescent="0.25">
      <c r="A395">
        <v>394</v>
      </c>
    </row>
    <row r="396" spans="1:1" x14ac:dyDescent="0.25">
      <c r="A396">
        <v>395</v>
      </c>
    </row>
    <row r="397" spans="1:1" x14ac:dyDescent="0.25">
      <c r="A397">
        <v>396</v>
      </c>
    </row>
    <row r="398" spans="1:1" x14ac:dyDescent="0.25">
      <c r="A398">
        <v>397</v>
      </c>
    </row>
    <row r="399" spans="1:1" x14ac:dyDescent="0.25">
      <c r="A399">
        <v>398</v>
      </c>
    </row>
    <row r="400" spans="1:1" x14ac:dyDescent="0.25">
      <c r="A400">
        <v>399</v>
      </c>
    </row>
    <row r="401" spans="1:1" x14ac:dyDescent="0.25">
      <c r="A401">
        <v>400</v>
      </c>
    </row>
    <row r="402" spans="1:1" x14ac:dyDescent="0.25">
      <c r="A402">
        <v>401</v>
      </c>
    </row>
    <row r="403" spans="1:1" x14ac:dyDescent="0.25">
      <c r="A403">
        <v>402</v>
      </c>
    </row>
    <row r="404" spans="1:1" x14ac:dyDescent="0.25">
      <c r="A404">
        <v>403</v>
      </c>
    </row>
    <row r="405" spans="1:1" x14ac:dyDescent="0.25">
      <c r="A405">
        <v>404</v>
      </c>
    </row>
    <row r="406" spans="1:1" x14ac:dyDescent="0.25">
      <c r="A406">
        <v>405</v>
      </c>
    </row>
    <row r="407" spans="1:1" x14ac:dyDescent="0.25">
      <c r="A407">
        <v>406</v>
      </c>
    </row>
    <row r="408" spans="1:1" x14ac:dyDescent="0.25">
      <c r="A408">
        <v>407</v>
      </c>
    </row>
    <row r="409" spans="1:1" x14ac:dyDescent="0.25">
      <c r="A409">
        <v>408</v>
      </c>
    </row>
    <row r="410" spans="1:1" x14ac:dyDescent="0.25">
      <c r="A410">
        <v>409</v>
      </c>
    </row>
    <row r="411" spans="1:1" x14ac:dyDescent="0.25">
      <c r="A411">
        <v>410</v>
      </c>
    </row>
    <row r="412" spans="1:1" x14ac:dyDescent="0.25">
      <c r="A412">
        <v>411</v>
      </c>
    </row>
    <row r="413" spans="1:1" x14ac:dyDescent="0.25">
      <c r="A413">
        <v>412</v>
      </c>
    </row>
    <row r="414" spans="1:1" x14ac:dyDescent="0.25">
      <c r="A414">
        <v>413</v>
      </c>
    </row>
    <row r="415" spans="1:1" x14ac:dyDescent="0.25">
      <c r="A415">
        <v>414</v>
      </c>
    </row>
    <row r="416" spans="1:1" x14ac:dyDescent="0.25">
      <c r="A416">
        <v>415</v>
      </c>
    </row>
    <row r="417" spans="1:1" x14ac:dyDescent="0.25">
      <c r="A417">
        <v>416</v>
      </c>
    </row>
    <row r="418" spans="1:1" x14ac:dyDescent="0.25">
      <c r="A418">
        <v>417</v>
      </c>
    </row>
    <row r="419" spans="1:1" x14ac:dyDescent="0.25">
      <c r="A419">
        <v>418</v>
      </c>
    </row>
    <row r="420" spans="1:1" x14ac:dyDescent="0.25">
      <c r="A420">
        <v>419</v>
      </c>
    </row>
    <row r="421" spans="1:1" x14ac:dyDescent="0.25">
      <c r="A421">
        <v>420</v>
      </c>
    </row>
    <row r="422" spans="1:1" x14ac:dyDescent="0.25">
      <c r="A422">
        <v>421</v>
      </c>
    </row>
    <row r="423" spans="1:1" x14ac:dyDescent="0.25">
      <c r="A423">
        <v>422</v>
      </c>
    </row>
    <row r="424" spans="1:1" x14ac:dyDescent="0.25">
      <c r="A424">
        <v>423</v>
      </c>
    </row>
    <row r="425" spans="1:1" x14ac:dyDescent="0.25">
      <c r="A425">
        <v>424</v>
      </c>
    </row>
    <row r="426" spans="1:1" x14ac:dyDescent="0.25">
      <c r="A426">
        <v>425</v>
      </c>
    </row>
    <row r="427" spans="1:1" x14ac:dyDescent="0.25">
      <c r="A427">
        <v>426</v>
      </c>
    </row>
    <row r="428" spans="1:1" x14ac:dyDescent="0.25">
      <c r="A428">
        <v>427</v>
      </c>
    </row>
    <row r="429" spans="1:1" x14ac:dyDescent="0.25">
      <c r="A429">
        <v>428</v>
      </c>
    </row>
    <row r="430" spans="1:1" x14ac:dyDescent="0.25">
      <c r="A430">
        <v>429</v>
      </c>
    </row>
    <row r="431" spans="1:1" x14ac:dyDescent="0.25">
      <c r="A431">
        <v>430</v>
      </c>
    </row>
    <row r="432" spans="1:1" x14ac:dyDescent="0.25">
      <c r="A432">
        <v>431</v>
      </c>
    </row>
    <row r="433" spans="1:4" x14ac:dyDescent="0.25">
      <c r="A433">
        <v>432</v>
      </c>
    </row>
    <row r="434" spans="1:4" x14ac:dyDescent="0.25">
      <c r="A434">
        <v>433</v>
      </c>
      <c r="B434" s="282" t="s">
        <v>1518</v>
      </c>
      <c r="C434" t="s">
        <v>1530</v>
      </c>
      <c r="D434" t="s">
        <v>1524</v>
      </c>
    </row>
    <row r="435" spans="1:4" x14ac:dyDescent="0.25">
      <c r="A435">
        <v>434</v>
      </c>
      <c r="B435" s="282" t="s">
        <v>1520</v>
      </c>
      <c r="C435" t="s">
        <v>1532</v>
      </c>
      <c r="D435" t="s">
        <v>1526</v>
      </c>
    </row>
    <row r="436" spans="1:4" x14ac:dyDescent="0.25">
      <c r="A436">
        <v>435</v>
      </c>
      <c r="B436" s="282" t="s">
        <v>1521</v>
      </c>
      <c r="C436" t="s">
        <v>1533</v>
      </c>
      <c r="D436" t="s">
        <v>1527</v>
      </c>
    </row>
    <row r="437" spans="1:4" x14ac:dyDescent="0.25">
      <c r="A437">
        <v>436</v>
      </c>
      <c r="B437" s="282" t="s">
        <v>1522</v>
      </c>
      <c r="C437" t="s">
        <v>1534</v>
      </c>
      <c r="D437" t="s">
        <v>1528</v>
      </c>
    </row>
    <row r="438" spans="1:4" x14ac:dyDescent="0.25">
      <c r="A438">
        <v>437</v>
      </c>
      <c r="B438" s="282" t="s">
        <v>1523</v>
      </c>
      <c r="C438" t="s">
        <v>1535</v>
      </c>
      <c r="D438" t="s">
        <v>1529</v>
      </c>
    </row>
    <row r="439" spans="1:4" ht="150" x14ac:dyDescent="0.25">
      <c r="A439">
        <v>438</v>
      </c>
      <c r="B439" s="322" t="s">
        <v>1557</v>
      </c>
      <c r="C439" s="45" t="s">
        <v>1558</v>
      </c>
      <c r="D439" s="169" t="s">
        <v>1559</v>
      </c>
    </row>
    <row r="440" spans="1:4" x14ac:dyDescent="0.25">
      <c r="A440">
        <v>439</v>
      </c>
      <c r="B440" s="282" t="s">
        <v>1560</v>
      </c>
      <c r="C440" t="s">
        <v>1561</v>
      </c>
      <c r="D440" t="s">
        <v>1562</v>
      </c>
    </row>
    <row r="441" spans="1:4" ht="330" x14ac:dyDescent="0.25">
      <c r="A441">
        <v>440</v>
      </c>
      <c r="B441" s="322" t="s">
        <v>1563</v>
      </c>
      <c r="C441" s="45" t="s">
        <v>1564</v>
      </c>
      <c r="D441" s="45" t="s">
        <v>1589</v>
      </c>
    </row>
    <row r="442" spans="1:4" x14ac:dyDescent="0.25">
      <c r="A442">
        <v>441</v>
      </c>
      <c r="B442" t="s">
        <v>1538</v>
      </c>
      <c r="C442" t="s">
        <v>1541</v>
      </c>
      <c r="D442" t="s">
        <v>1544</v>
      </c>
    </row>
    <row r="443" spans="1:4" x14ac:dyDescent="0.25">
      <c r="A443">
        <v>442</v>
      </c>
      <c r="B443" t="s">
        <v>1568</v>
      </c>
      <c r="C443" s="45" t="s">
        <v>1569</v>
      </c>
      <c r="D443" t="s">
        <v>1565</v>
      </c>
    </row>
    <row r="444" spans="1:4" x14ac:dyDescent="0.25">
      <c r="A444">
        <v>443</v>
      </c>
      <c r="B444" t="s">
        <v>1566</v>
      </c>
      <c r="C444" t="s">
        <v>1567</v>
      </c>
      <c r="D444" t="s">
        <v>1570</v>
      </c>
    </row>
    <row r="445" spans="1:4" x14ac:dyDescent="0.25">
      <c r="A445">
        <v>444</v>
      </c>
      <c r="B445" t="s">
        <v>1571</v>
      </c>
      <c r="C445" s="45" t="s">
        <v>1572</v>
      </c>
      <c r="D445" t="s">
        <v>1573</v>
      </c>
    </row>
    <row r="446" spans="1:4" x14ac:dyDescent="0.25">
      <c r="A446">
        <v>445</v>
      </c>
      <c r="B446" t="s">
        <v>1574</v>
      </c>
      <c r="C446" t="s">
        <v>1575</v>
      </c>
      <c r="D446" t="s">
        <v>1576</v>
      </c>
    </row>
    <row r="447" spans="1:4" x14ac:dyDescent="0.25">
      <c r="A447">
        <v>446</v>
      </c>
      <c r="B447" t="s">
        <v>1577</v>
      </c>
      <c r="C447" s="45" t="s">
        <v>1579</v>
      </c>
      <c r="D447" t="s">
        <v>1578</v>
      </c>
    </row>
    <row r="448" spans="1:4" x14ac:dyDescent="0.25">
      <c r="A448">
        <v>447</v>
      </c>
      <c r="B448" t="s">
        <v>1580</v>
      </c>
      <c r="C448" t="s">
        <v>1581</v>
      </c>
      <c r="D448" t="s">
        <v>1582</v>
      </c>
    </row>
    <row r="449" spans="1:4" x14ac:dyDescent="0.25">
      <c r="A449">
        <v>448</v>
      </c>
      <c r="B449" t="s">
        <v>1583</v>
      </c>
      <c r="C449" s="45" t="s">
        <v>1584</v>
      </c>
      <c r="D449" t="s">
        <v>1585</v>
      </c>
    </row>
    <row r="450" spans="1:4" x14ac:dyDescent="0.25">
      <c r="A450">
        <v>449</v>
      </c>
      <c r="B450" t="s">
        <v>1588</v>
      </c>
      <c r="C450" t="s">
        <v>1586</v>
      </c>
      <c r="D450" t="s">
        <v>1587</v>
      </c>
    </row>
    <row r="451" spans="1:4" x14ac:dyDescent="0.25">
      <c r="A451">
        <v>450</v>
      </c>
    </row>
    <row r="452" spans="1:4" x14ac:dyDescent="0.25">
      <c r="A452">
        <v>451</v>
      </c>
    </row>
    <row r="453" spans="1:4" x14ac:dyDescent="0.25">
      <c r="A453">
        <v>452</v>
      </c>
    </row>
    <row r="454" spans="1:4" x14ac:dyDescent="0.25">
      <c r="A454">
        <v>453</v>
      </c>
    </row>
    <row r="455" spans="1:4" x14ac:dyDescent="0.25">
      <c r="A455">
        <v>454</v>
      </c>
    </row>
    <row r="456" spans="1:4" x14ac:dyDescent="0.25">
      <c r="A456">
        <v>455</v>
      </c>
    </row>
    <row r="457" spans="1:4" x14ac:dyDescent="0.25">
      <c r="A457">
        <v>456</v>
      </c>
    </row>
    <row r="458" spans="1:4" x14ac:dyDescent="0.25">
      <c r="A458">
        <v>457</v>
      </c>
    </row>
    <row r="459" spans="1:4" x14ac:dyDescent="0.25">
      <c r="A459">
        <v>458</v>
      </c>
    </row>
    <row r="460" spans="1:4" x14ac:dyDescent="0.25">
      <c r="A460">
        <v>459</v>
      </c>
    </row>
    <row r="461" spans="1:4" x14ac:dyDescent="0.25">
      <c r="A461">
        <v>460</v>
      </c>
    </row>
    <row r="462" spans="1:4" x14ac:dyDescent="0.25">
      <c r="A462">
        <v>461</v>
      </c>
    </row>
    <row r="463" spans="1:4" x14ac:dyDescent="0.25">
      <c r="A463">
        <v>462</v>
      </c>
    </row>
    <row r="464" spans="1:4" x14ac:dyDescent="0.25">
      <c r="A464">
        <v>463</v>
      </c>
    </row>
    <row r="465" spans="1:1" x14ac:dyDescent="0.25">
      <c r="A465">
        <v>464</v>
      </c>
    </row>
    <row r="466" spans="1:1" x14ac:dyDescent="0.25">
      <c r="A466">
        <v>465</v>
      </c>
    </row>
    <row r="467" spans="1:1" x14ac:dyDescent="0.25">
      <c r="A467">
        <v>466</v>
      </c>
    </row>
    <row r="468" spans="1:1" x14ac:dyDescent="0.25">
      <c r="A468">
        <v>467</v>
      </c>
    </row>
    <row r="469" spans="1:1" x14ac:dyDescent="0.25">
      <c r="A469">
        <v>468</v>
      </c>
    </row>
    <row r="470" spans="1:1" x14ac:dyDescent="0.25">
      <c r="A470">
        <v>469</v>
      </c>
    </row>
    <row r="471" spans="1:1" x14ac:dyDescent="0.25">
      <c r="A471">
        <v>470</v>
      </c>
    </row>
    <row r="472" spans="1:1" x14ac:dyDescent="0.25">
      <c r="A472">
        <v>471</v>
      </c>
    </row>
    <row r="473" spans="1:1" x14ac:dyDescent="0.25">
      <c r="A473">
        <v>472</v>
      </c>
    </row>
    <row r="474" spans="1:1" x14ac:dyDescent="0.25">
      <c r="A474">
        <v>473</v>
      </c>
    </row>
    <row r="475" spans="1:1" x14ac:dyDescent="0.25">
      <c r="A475">
        <v>474</v>
      </c>
    </row>
    <row r="476" spans="1:1" x14ac:dyDescent="0.25">
      <c r="A476">
        <v>475</v>
      </c>
    </row>
    <row r="477" spans="1:1" x14ac:dyDescent="0.25">
      <c r="A477">
        <v>476</v>
      </c>
    </row>
    <row r="478" spans="1:1" x14ac:dyDescent="0.25">
      <c r="A478">
        <v>477</v>
      </c>
    </row>
    <row r="479" spans="1:1" x14ac:dyDescent="0.25">
      <c r="A479">
        <v>478</v>
      </c>
    </row>
    <row r="480" spans="1:1" x14ac:dyDescent="0.25">
      <c r="A480">
        <v>479</v>
      </c>
    </row>
    <row r="481" spans="1:1" x14ac:dyDescent="0.25">
      <c r="A481">
        <v>480</v>
      </c>
    </row>
    <row r="482" spans="1:1" x14ac:dyDescent="0.25">
      <c r="A482">
        <v>481</v>
      </c>
    </row>
    <row r="483" spans="1:1" x14ac:dyDescent="0.25">
      <c r="A483">
        <v>482</v>
      </c>
    </row>
    <row r="484" spans="1:1" x14ac:dyDescent="0.25">
      <c r="A484">
        <v>483</v>
      </c>
    </row>
    <row r="485" spans="1:1" x14ac:dyDescent="0.25">
      <c r="A485">
        <v>484</v>
      </c>
    </row>
    <row r="486" spans="1:1" x14ac:dyDescent="0.25">
      <c r="A486">
        <v>485</v>
      </c>
    </row>
    <row r="487" spans="1:1" x14ac:dyDescent="0.25">
      <c r="A487">
        <v>486</v>
      </c>
    </row>
    <row r="488" spans="1:1" x14ac:dyDescent="0.25">
      <c r="A488">
        <v>487</v>
      </c>
    </row>
    <row r="489" spans="1:1" x14ac:dyDescent="0.25">
      <c r="A489">
        <v>488</v>
      </c>
    </row>
    <row r="490" spans="1:1" x14ac:dyDescent="0.25">
      <c r="A490">
        <v>489</v>
      </c>
    </row>
    <row r="491" spans="1:1" x14ac:dyDescent="0.25">
      <c r="A491">
        <v>490</v>
      </c>
    </row>
    <row r="492" spans="1:1" x14ac:dyDescent="0.25">
      <c r="A492">
        <v>491</v>
      </c>
    </row>
    <row r="493" spans="1:1" x14ac:dyDescent="0.25">
      <c r="A493">
        <v>492</v>
      </c>
    </row>
    <row r="494" spans="1:1" x14ac:dyDescent="0.25">
      <c r="A494">
        <v>493</v>
      </c>
    </row>
    <row r="495" spans="1:1" x14ac:dyDescent="0.25">
      <c r="A495">
        <v>494</v>
      </c>
    </row>
    <row r="496" spans="1:1" x14ac:dyDescent="0.25">
      <c r="A496">
        <v>495</v>
      </c>
    </row>
    <row r="497" spans="1:1" x14ac:dyDescent="0.25">
      <c r="A497">
        <v>496</v>
      </c>
    </row>
    <row r="498" spans="1:1" x14ac:dyDescent="0.25">
      <c r="A498">
        <v>497</v>
      </c>
    </row>
    <row r="499" spans="1:1" x14ac:dyDescent="0.25">
      <c r="A499">
        <v>498</v>
      </c>
    </row>
    <row r="500" spans="1:1" x14ac:dyDescent="0.25">
      <c r="A500">
        <v>499</v>
      </c>
    </row>
    <row r="501" spans="1:1" x14ac:dyDescent="0.25">
      <c r="A501">
        <v>500</v>
      </c>
    </row>
    <row r="502" spans="1:1" x14ac:dyDescent="0.25">
      <c r="A502">
        <v>501</v>
      </c>
    </row>
    <row r="503" spans="1:1" x14ac:dyDescent="0.25">
      <c r="A503">
        <v>502</v>
      </c>
    </row>
    <row r="504" spans="1:1" x14ac:dyDescent="0.25">
      <c r="A504">
        <v>503</v>
      </c>
    </row>
    <row r="505" spans="1:1" x14ac:dyDescent="0.25">
      <c r="A505">
        <v>504</v>
      </c>
    </row>
    <row r="506" spans="1:1" x14ac:dyDescent="0.25">
      <c r="A506">
        <v>505</v>
      </c>
    </row>
    <row r="507" spans="1:1" x14ac:dyDescent="0.25">
      <c r="A507">
        <v>506</v>
      </c>
    </row>
    <row r="508" spans="1:1" x14ac:dyDescent="0.25">
      <c r="A508">
        <v>507</v>
      </c>
    </row>
    <row r="509" spans="1:1" x14ac:dyDescent="0.25">
      <c r="A509">
        <v>508</v>
      </c>
    </row>
    <row r="510" spans="1:1" x14ac:dyDescent="0.25">
      <c r="A510">
        <v>509</v>
      </c>
    </row>
    <row r="511" spans="1:1" x14ac:dyDescent="0.25">
      <c r="A511">
        <v>510</v>
      </c>
    </row>
    <row r="512" spans="1:1" x14ac:dyDescent="0.25">
      <c r="A512">
        <v>511</v>
      </c>
    </row>
    <row r="513" spans="1:1" x14ac:dyDescent="0.25">
      <c r="A513">
        <v>512</v>
      </c>
    </row>
    <row r="514" spans="1:1" x14ac:dyDescent="0.25">
      <c r="A514">
        <v>513</v>
      </c>
    </row>
    <row r="515" spans="1:1" x14ac:dyDescent="0.25">
      <c r="A515">
        <v>514</v>
      </c>
    </row>
    <row r="516" spans="1:1" x14ac:dyDescent="0.25">
      <c r="A516">
        <v>515</v>
      </c>
    </row>
    <row r="517" spans="1:1" x14ac:dyDescent="0.25">
      <c r="A517">
        <v>516</v>
      </c>
    </row>
    <row r="518" spans="1:1" x14ac:dyDescent="0.25">
      <c r="A518">
        <v>517</v>
      </c>
    </row>
    <row r="519" spans="1:1" x14ac:dyDescent="0.25">
      <c r="A519">
        <v>518</v>
      </c>
    </row>
    <row r="520" spans="1:1" x14ac:dyDescent="0.25">
      <c r="A520">
        <v>519</v>
      </c>
    </row>
    <row r="521" spans="1:1" x14ac:dyDescent="0.25">
      <c r="A521">
        <v>520</v>
      </c>
    </row>
    <row r="522" spans="1:1" x14ac:dyDescent="0.25">
      <c r="A522">
        <v>521</v>
      </c>
    </row>
    <row r="523" spans="1:1" x14ac:dyDescent="0.25">
      <c r="A523">
        <v>522</v>
      </c>
    </row>
    <row r="524" spans="1:1" x14ac:dyDescent="0.25">
      <c r="A524">
        <v>523</v>
      </c>
    </row>
    <row r="525" spans="1:1" x14ac:dyDescent="0.25">
      <c r="A525">
        <v>524</v>
      </c>
    </row>
    <row r="526" spans="1:1" x14ac:dyDescent="0.25">
      <c r="A526">
        <v>525</v>
      </c>
    </row>
    <row r="527" spans="1:1" x14ac:dyDescent="0.25">
      <c r="A527">
        <v>526</v>
      </c>
    </row>
    <row r="528" spans="1:1" x14ac:dyDescent="0.25">
      <c r="A528">
        <v>527</v>
      </c>
    </row>
    <row r="529" spans="1:1" x14ac:dyDescent="0.25">
      <c r="A529">
        <v>528</v>
      </c>
    </row>
    <row r="530" spans="1:1" x14ac:dyDescent="0.25">
      <c r="A530">
        <v>529</v>
      </c>
    </row>
    <row r="531" spans="1:1" x14ac:dyDescent="0.25">
      <c r="A531">
        <v>530</v>
      </c>
    </row>
    <row r="532" spans="1:1" x14ac:dyDescent="0.25">
      <c r="A532">
        <v>531</v>
      </c>
    </row>
    <row r="533" spans="1:1" x14ac:dyDescent="0.25">
      <c r="A533">
        <v>532</v>
      </c>
    </row>
    <row r="534" spans="1:1" x14ac:dyDescent="0.25">
      <c r="A534">
        <v>533</v>
      </c>
    </row>
    <row r="535" spans="1:1" x14ac:dyDescent="0.25">
      <c r="A535">
        <v>534</v>
      </c>
    </row>
    <row r="536" spans="1:1" x14ac:dyDescent="0.25">
      <c r="A536">
        <v>535</v>
      </c>
    </row>
    <row r="537" spans="1:1" x14ac:dyDescent="0.25">
      <c r="A537">
        <v>536</v>
      </c>
    </row>
    <row r="538" spans="1:1" x14ac:dyDescent="0.25">
      <c r="A538">
        <v>537</v>
      </c>
    </row>
    <row r="539" spans="1:1" x14ac:dyDescent="0.25">
      <c r="A539">
        <v>538</v>
      </c>
    </row>
    <row r="540" spans="1:1" x14ac:dyDescent="0.25">
      <c r="A540">
        <v>539</v>
      </c>
    </row>
    <row r="541" spans="1:1" x14ac:dyDescent="0.25">
      <c r="A541">
        <v>540</v>
      </c>
    </row>
    <row r="542" spans="1:1" x14ac:dyDescent="0.25">
      <c r="A542">
        <v>541</v>
      </c>
    </row>
    <row r="543" spans="1:1" x14ac:dyDescent="0.25">
      <c r="A543">
        <v>542</v>
      </c>
    </row>
    <row r="544" spans="1:1" x14ac:dyDescent="0.25">
      <c r="A544">
        <v>543</v>
      </c>
    </row>
    <row r="545" spans="1:1" x14ac:dyDescent="0.25">
      <c r="A545">
        <v>544</v>
      </c>
    </row>
    <row r="546" spans="1:1" x14ac:dyDescent="0.25">
      <c r="A546">
        <v>545</v>
      </c>
    </row>
    <row r="547" spans="1:1" x14ac:dyDescent="0.25">
      <c r="A547">
        <v>546</v>
      </c>
    </row>
    <row r="548" spans="1:1" x14ac:dyDescent="0.25">
      <c r="A548">
        <v>547</v>
      </c>
    </row>
    <row r="549" spans="1:1" x14ac:dyDescent="0.25">
      <c r="A549">
        <v>548</v>
      </c>
    </row>
    <row r="550" spans="1:1" x14ac:dyDescent="0.25">
      <c r="A550">
        <v>549</v>
      </c>
    </row>
    <row r="551" spans="1:1" x14ac:dyDescent="0.25">
      <c r="A551">
        <v>550</v>
      </c>
    </row>
    <row r="552" spans="1:1" x14ac:dyDescent="0.25">
      <c r="A552">
        <v>551</v>
      </c>
    </row>
    <row r="553" spans="1:1" x14ac:dyDescent="0.25">
      <c r="A553">
        <v>552</v>
      </c>
    </row>
    <row r="554" spans="1:1" x14ac:dyDescent="0.25">
      <c r="A554">
        <v>553</v>
      </c>
    </row>
    <row r="555" spans="1:1" x14ac:dyDescent="0.25">
      <c r="A555">
        <v>554</v>
      </c>
    </row>
    <row r="556" spans="1:1" x14ac:dyDescent="0.25">
      <c r="A556">
        <v>555</v>
      </c>
    </row>
    <row r="557" spans="1:1" x14ac:dyDescent="0.25">
      <c r="A557">
        <v>556</v>
      </c>
    </row>
    <row r="558" spans="1:1" x14ac:dyDescent="0.25">
      <c r="A558">
        <v>557</v>
      </c>
    </row>
    <row r="559" spans="1:1" x14ac:dyDescent="0.25">
      <c r="A559">
        <v>558</v>
      </c>
    </row>
    <row r="560" spans="1:1" x14ac:dyDescent="0.25">
      <c r="A560">
        <v>559</v>
      </c>
    </row>
    <row r="561" spans="1:1" x14ac:dyDescent="0.25">
      <c r="A561">
        <v>560</v>
      </c>
    </row>
    <row r="562" spans="1:1" x14ac:dyDescent="0.25">
      <c r="A562">
        <v>561</v>
      </c>
    </row>
    <row r="563" spans="1:1" x14ac:dyDescent="0.25">
      <c r="A563">
        <v>562</v>
      </c>
    </row>
    <row r="564" spans="1:1" x14ac:dyDescent="0.25">
      <c r="A564">
        <v>563</v>
      </c>
    </row>
    <row r="565" spans="1:1" x14ac:dyDescent="0.25">
      <c r="A565">
        <v>564</v>
      </c>
    </row>
    <row r="566" spans="1:1" x14ac:dyDescent="0.25">
      <c r="A566">
        <v>565</v>
      </c>
    </row>
    <row r="567" spans="1:1" x14ac:dyDescent="0.25">
      <c r="A567">
        <v>566</v>
      </c>
    </row>
    <row r="568" spans="1:1" x14ac:dyDescent="0.25">
      <c r="A568">
        <v>567</v>
      </c>
    </row>
    <row r="569" spans="1:1" x14ac:dyDescent="0.25">
      <c r="A569">
        <v>568</v>
      </c>
    </row>
    <row r="570" spans="1:1" x14ac:dyDescent="0.25">
      <c r="A570">
        <v>569</v>
      </c>
    </row>
    <row r="571" spans="1:1" x14ac:dyDescent="0.25">
      <c r="A571">
        <v>570</v>
      </c>
    </row>
    <row r="572" spans="1:1" x14ac:dyDescent="0.25">
      <c r="A572">
        <v>571</v>
      </c>
    </row>
    <row r="573" spans="1:1" x14ac:dyDescent="0.25">
      <c r="A573">
        <v>572</v>
      </c>
    </row>
    <row r="574" spans="1:1" x14ac:dyDescent="0.25">
      <c r="A574">
        <v>573</v>
      </c>
    </row>
    <row r="575" spans="1:1" x14ac:dyDescent="0.25">
      <c r="A575">
        <v>574</v>
      </c>
    </row>
    <row r="576" spans="1:1" x14ac:dyDescent="0.25">
      <c r="A576">
        <v>575</v>
      </c>
    </row>
    <row r="577" spans="1:1" x14ac:dyDescent="0.25">
      <c r="A577">
        <v>576</v>
      </c>
    </row>
    <row r="578" spans="1:1" x14ac:dyDescent="0.25">
      <c r="A578">
        <v>577</v>
      </c>
    </row>
    <row r="579" spans="1:1" x14ac:dyDescent="0.25">
      <c r="A579">
        <v>578</v>
      </c>
    </row>
    <row r="580" spans="1:1" x14ac:dyDescent="0.25">
      <c r="A580">
        <v>579</v>
      </c>
    </row>
    <row r="581" spans="1:1" x14ac:dyDescent="0.25">
      <c r="A581">
        <v>580</v>
      </c>
    </row>
    <row r="582" spans="1:1" x14ac:dyDescent="0.25">
      <c r="A582">
        <v>581</v>
      </c>
    </row>
    <row r="583" spans="1:1" x14ac:dyDescent="0.25">
      <c r="A583">
        <v>582</v>
      </c>
    </row>
    <row r="584" spans="1:1" x14ac:dyDescent="0.25">
      <c r="A584">
        <v>583</v>
      </c>
    </row>
    <row r="585" spans="1:1" x14ac:dyDescent="0.25">
      <c r="A585">
        <v>584</v>
      </c>
    </row>
    <row r="586" spans="1:1" x14ac:dyDescent="0.25">
      <c r="A586">
        <v>585</v>
      </c>
    </row>
    <row r="587" spans="1:1" x14ac:dyDescent="0.25">
      <c r="A587">
        <v>586</v>
      </c>
    </row>
    <row r="588" spans="1:1" x14ac:dyDescent="0.25">
      <c r="A588">
        <v>587</v>
      </c>
    </row>
    <row r="589" spans="1:1" x14ac:dyDescent="0.25">
      <c r="A589">
        <v>588</v>
      </c>
    </row>
    <row r="590" spans="1:1" x14ac:dyDescent="0.25">
      <c r="A590">
        <v>589</v>
      </c>
    </row>
    <row r="591" spans="1:1" x14ac:dyDescent="0.25">
      <c r="A591">
        <v>590</v>
      </c>
    </row>
    <row r="592" spans="1:1" x14ac:dyDescent="0.25">
      <c r="A592">
        <v>591</v>
      </c>
    </row>
    <row r="593" spans="1:1" x14ac:dyDescent="0.25">
      <c r="A593">
        <v>592</v>
      </c>
    </row>
    <row r="594" spans="1:1" x14ac:dyDescent="0.25">
      <c r="A594">
        <v>593</v>
      </c>
    </row>
    <row r="595" spans="1:1" x14ac:dyDescent="0.25">
      <c r="A595">
        <v>594</v>
      </c>
    </row>
    <row r="596" spans="1:1" x14ac:dyDescent="0.25">
      <c r="A596">
        <v>595</v>
      </c>
    </row>
    <row r="597" spans="1:1" x14ac:dyDescent="0.25">
      <c r="A597">
        <v>596</v>
      </c>
    </row>
    <row r="598" spans="1:1" x14ac:dyDescent="0.25">
      <c r="A598">
        <v>597</v>
      </c>
    </row>
    <row r="599" spans="1:1" x14ac:dyDescent="0.25">
      <c r="A599">
        <v>598</v>
      </c>
    </row>
    <row r="600" spans="1:1" x14ac:dyDescent="0.25">
      <c r="A600">
        <v>599</v>
      </c>
    </row>
    <row r="601" spans="1:1" x14ac:dyDescent="0.25">
      <c r="A601">
        <v>600</v>
      </c>
    </row>
    <row r="602" spans="1:1" x14ac:dyDescent="0.25">
      <c r="A602">
        <v>601</v>
      </c>
    </row>
    <row r="603" spans="1:1" x14ac:dyDescent="0.25">
      <c r="A603">
        <v>602</v>
      </c>
    </row>
  </sheetData>
  <sheetProtection sheet="1" objects="1" scenarios="1"/>
  <autoFilter ref="A1:D603"/>
  <pageMargins left="0.7" right="0.7" top="0.78740157499999996" bottom="0.78740157499999996"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8"/>
  <sheetViews>
    <sheetView showGridLines="0" workbookViewId="0">
      <selection activeCell="A13" sqref="A13"/>
    </sheetView>
  </sheetViews>
  <sheetFormatPr defaultRowHeight="15" x14ac:dyDescent="0.25"/>
  <cols>
    <col min="1" max="1" width="74" bestFit="1" customWidth="1"/>
    <col min="2" max="2" width="34" customWidth="1"/>
    <col min="3" max="3" width="11.140625" customWidth="1"/>
    <col min="4" max="4" width="7.5703125" customWidth="1"/>
    <col min="5" max="9" width="9.140625" customWidth="1"/>
    <col min="10" max="10" width="9.140625" hidden="1" customWidth="1"/>
    <col min="11" max="11" width="11.140625" hidden="1" customWidth="1"/>
    <col min="12" max="13" width="9.140625" hidden="1" customWidth="1"/>
    <col min="14" max="14" width="12.5703125" hidden="1" customWidth="1"/>
    <col min="15" max="15" width="14.28515625" hidden="1" customWidth="1"/>
    <col min="16" max="17" width="9.140625" hidden="1" customWidth="1"/>
    <col min="18" max="21" width="9.140625" customWidth="1"/>
  </cols>
  <sheetData>
    <row r="1" spans="1:15" s="208" customFormat="1" ht="32.25" customHeight="1" x14ac:dyDescent="0.25">
      <c r="A1" s="207" t="str">
        <f>VLOOKUP(60,Lang!A1:D2628,Lang!L1+1,FALSE)</f>
        <v>B-AD7  Barevné provedení střechy a fasády</v>
      </c>
      <c r="E1" s="297" t="str">
        <f>VLOOKUP(129,Lang!A1:D2628,Lang!L1+1,FALSE)</f>
        <v>Navigace</v>
      </c>
      <c r="F1" s="298"/>
    </row>
    <row r="2" spans="1:15" ht="28.5" customHeight="1" thickBot="1" x14ac:dyDescent="0.3">
      <c r="A2" s="199" t="str">
        <f>VLOOKUP(130,Lang!A1:D2628,Lang!L1+1,FALSE)</f>
        <v>Metodický list indikátoru</v>
      </c>
      <c r="E2" s="100"/>
      <c r="F2" s="101"/>
    </row>
    <row r="3" spans="1:15" x14ac:dyDescent="0.25">
      <c r="B3" s="219" t="s">
        <v>66</v>
      </c>
    </row>
    <row r="4" spans="1:15" x14ac:dyDescent="0.25">
      <c r="A4" s="61" t="str">
        <f>VLOOKUP(175,Lang!A1:I2628,Lang!L1+1,FALSE)</f>
        <v>Odrazivá plocha střechy (HBW &gt;= 35)</v>
      </c>
      <c r="B4" s="217"/>
      <c r="J4" t="s">
        <v>149</v>
      </c>
      <c r="K4" t="s">
        <v>148</v>
      </c>
      <c r="N4" t="s">
        <v>150</v>
      </c>
      <c r="O4" t="s">
        <v>151</v>
      </c>
    </row>
    <row r="5" spans="1:15" x14ac:dyDescent="0.25">
      <c r="A5" s="61" t="str">
        <f>VLOOKUP(176,Lang!A1:I2628,Lang!L1+1,FALSE)</f>
        <v>Odrazivá plocha fasády (HBW &gt;= 35)</v>
      </c>
      <c r="B5" s="217"/>
      <c r="J5" t="str">
        <f>IF(AND(B$4&gt;=L5,B$4&lt;M5),"X","")</f>
        <v>X</v>
      </c>
      <c r="K5" t="str">
        <f>IF(AND(B$5&gt;=L5,B$5&lt;M5),"X","")</f>
        <v>X</v>
      </c>
      <c r="L5">
        <v>0</v>
      </c>
      <c r="M5">
        <v>25</v>
      </c>
      <c r="N5">
        <v>0</v>
      </c>
      <c r="O5">
        <v>0</v>
      </c>
    </row>
    <row r="6" spans="1:15" x14ac:dyDescent="0.25">
      <c r="J6" t="str">
        <f>IF(AND(B$4&gt;=L6,B$4&lt;M6),"X","")</f>
        <v/>
      </c>
      <c r="K6" t="str">
        <f>IF(AND(B$5&gt;=L6,B$5&lt;M6),"X","")</f>
        <v/>
      </c>
      <c r="L6">
        <v>25.00001</v>
      </c>
      <c r="M6">
        <v>75</v>
      </c>
      <c r="N6">
        <v>1</v>
      </c>
      <c r="O6">
        <v>1</v>
      </c>
    </row>
    <row r="7" spans="1:15" ht="18.75" x14ac:dyDescent="0.3">
      <c r="A7" s="72" t="str">
        <f>VLOOKUP(139,Lang!A1:D2628,Lang!L$1+1,FALSE)</f>
        <v>Hodnota indikátoru</v>
      </c>
      <c r="B7" s="70" t="str">
        <f>IF(AND(B4&lt;&gt;"",B5&lt;&gt;""),VLOOKUP(N8,M11:N15,2,FALSE),VLOOKUP(121,Lang!A1:I2628,Lang!L1+1,FALSE))</f>
        <v>chybné/neúplné vstupy</v>
      </c>
      <c r="C7" s="70" t="str">
        <f>IF(AND(B4&lt;&gt;"",B5&lt;&gt;""),+N8,"---")</f>
        <v>---</v>
      </c>
      <c r="J7" t="str">
        <f>IF(AND(B$4&gt;=L7,B$4&lt;=M7),"X","")</f>
        <v/>
      </c>
      <c r="K7" t="str">
        <f>IF(AND(B$5&gt;=L7,B$5&lt;=M7),"X","")</f>
        <v/>
      </c>
      <c r="L7">
        <v>75.000100000000003</v>
      </c>
      <c r="M7">
        <v>100</v>
      </c>
      <c r="N7">
        <v>2</v>
      </c>
      <c r="O7">
        <v>2</v>
      </c>
    </row>
    <row r="8" spans="1:15" x14ac:dyDescent="0.25">
      <c r="N8">
        <f>VLOOKUP("X",J5:O7,6,FALSE)+VLOOKUP("X",K5:O7,5,FALSE)</f>
        <v>0</v>
      </c>
    </row>
    <row r="9" spans="1:15" ht="15.75" thickBot="1" x14ac:dyDescent="0.3"/>
    <row r="10" spans="1:15" ht="18" thickBot="1" x14ac:dyDescent="0.35">
      <c r="A10" s="230" t="str">
        <f>VLOOKUP(268,Lang!A$1:D$2628,Lang!L$1+1,FALSE)</f>
        <v>Hodnota pro vložení do Klimaskenu</v>
      </c>
      <c r="B10" s="231" t="str">
        <f>IF(C7="---","",C7)</f>
        <v/>
      </c>
    </row>
    <row r="11" spans="1:15" x14ac:dyDescent="0.25">
      <c r="M11">
        <v>0</v>
      </c>
      <c r="N11" t="s">
        <v>2</v>
      </c>
    </row>
    <row r="12" spans="1:15" x14ac:dyDescent="0.25">
      <c r="M12">
        <v>1</v>
      </c>
      <c r="N12" t="s">
        <v>3</v>
      </c>
    </row>
    <row r="13" spans="1:15" x14ac:dyDescent="0.25">
      <c r="A13" s="56" t="str">
        <f>VLOOKUP(349,Lang!A1:I2628,Lang!L1+1,FALSE)</f>
        <v>Barevný vzorník a hodnoty indexu HBW</v>
      </c>
      <c r="B13" s="246" t="s">
        <v>1187</v>
      </c>
      <c r="M13">
        <v>2</v>
      </c>
      <c r="N13" t="s">
        <v>4</v>
      </c>
    </row>
    <row r="14" spans="1:15" x14ac:dyDescent="0.25">
      <c r="M14">
        <v>3</v>
      </c>
      <c r="N14" t="s">
        <v>5</v>
      </c>
    </row>
    <row r="15" spans="1:15" x14ac:dyDescent="0.25">
      <c r="M15">
        <v>4</v>
      </c>
      <c r="N15" t="s">
        <v>6</v>
      </c>
    </row>
    <row r="16" spans="1:15" x14ac:dyDescent="0.25">
      <c r="J16" s="1" t="s">
        <v>1</v>
      </c>
    </row>
    <row r="17" spans="10:14" ht="15.75" thickBot="1" x14ac:dyDescent="0.3">
      <c r="J17" s="1" t="s">
        <v>152</v>
      </c>
    </row>
    <row r="18" spans="10:14" ht="72.75" thickTop="1" thickBot="1" x14ac:dyDescent="0.3">
      <c r="J18" s="16" t="s">
        <v>153</v>
      </c>
      <c r="K18" s="17" t="s">
        <v>19</v>
      </c>
      <c r="L18" s="17" t="s">
        <v>21</v>
      </c>
      <c r="M18" s="17" t="s">
        <v>0</v>
      </c>
    </row>
    <row r="19" spans="10:14" ht="72.75" thickTop="1" thickBot="1" x14ac:dyDescent="0.3">
      <c r="J19" s="18" t="s">
        <v>154</v>
      </c>
      <c r="K19" s="19">
        <v>0</v>
      </c>
      <c r="L19" s="19">
        <v>1</v>
      </c>
      <c r="M19" s="19">
        <v>2</v>
      </c>
    </row>
    <row r="20" spans="10:14" ht="72.75" thickTop="1" thickBot="1" x14ac:dyDescent="0.3">
      <c r="J20" s="20" t="s">
        <v>155</v>
      </c>
      <c r="K20" s="21">
        <v>0</v>
      </c>
      <c r="L20" s="21">
        <v>1</v>
      </c>
      <c r="M20" s="21">
        <v>2</v>
      </c>
    </row>
    <row r="21" spans="10:14" ht="46.5" thickTop="1" thickBot="1" x14ac:dyDescent="0.3">
      <c r="J21" s="22" t="s">
        <v>156</v>
      </c>
      <c r="K21" s="19" t="s">
        <v>22</v>
      </c>
      <c r="L21" s="19" t="s">
        <v>22</v>
      </c>
      <c r="M21" s="19" t="s">
        <v>22</v>
      </c>
    </row>
    <row r="22" spans="10:14" ht="15.75" thickTop="1" x14ac:dyDescent="0.25"/>
    <row r="26" spans="10:14" ht="15.75" thickBot="1" x14ac:dyDescent="0.3"/>
    <row r="27" spans="10:14" ht="15.75" thickBot="1" x14ac:dyDescent="0.3">
      <c r="J27" s="2" t="s">
        <v>2</v>
      </c>
      <c r="K27" s="3" t="s">
        <v>3</v>
      </c>
      <c r="L27" s="4" t="s">
        <v>4</v>
      </c>
      <c r="M27" s="5" t="s">
        <v>5</v>
      </c>
      <c r="N27" s="6" t="s">
        <v>6</v>
      </c>
    </row>
    <row r="28" spans="10:14" ht="15.75" thickBot="1" x14ac:dyDescent="0.3">
      <c r="J28" s="15">
        <v>0</v>
      </c>
      <c r="K28" s="7">
        <v>1</v>
      </c>
      <c r="L28" s="7">
        <v>2</v>
      </c>
      <c r="M28" s="7">
        <v>3</v>
      </c>
      <c r="N28" s="7">
        <v>4</v>
      </c>
    </row>
  </sheetData>
  <sheetProtection sheet="1" objects="1" scenarios="1"/>
  <mergeCells count="1">
    <mergeCell ref="E1:F1"/>
  </mergeCells>
  <conditionalFormatting sqref="B10">
    <cfRule type="iconSet" priority="1">
      <iconSet iconSet="3Symbols2">
        <cfvo type="percent" val="0"/>
        <cfvo type="percent" val="33"/>
        <cfvo type="percent" val="67"/>
      </iconSet>
    </cfRule>
  </conditionalFormatting>
  <dataValidations disablePrompts="1" count="1">
    <dataValidation type="decimal" allowBlank="1" showInputMessage="1" showErrorMessage="1" errorTitle="Chybná hodnota" error="min. 0; max. 100_x000a_" sqref="B4:B5">
      <formula1>0</formula1>
      <formula2>100</formula2>
    </dataValidation>
  </dataValidations>
  <hyperlinks>
    <hyperlink ref="B13" r:id="rId1"/>
  </hyperlinks>
  <pageMargins left="0.7" right="0.7" top="0.78740157499999996" bottom="0.78740157499999996"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showGridLines="0" workbookViewId="0">
      <selection activeCell="A4" sqref="A4"/>
    </sheetView>
  </sheetViews>
  <sheetFormatPr defaultRowHeight="15" x14ac:dyDescent="0.25"/>
  <cols>
    <col min="1" max="1" width="108.85546875" style="29" bestFit="1" customWidth="1"/>
    <col min="2" max="2" width="18.85546875" customWidth="1"/>
    <col min="3" max="3" width="17.85546875" customWidth="1"/>
    <col min="4" max="4" width="13.28515625" customWidth="1"/>
    <col min="7" max="7" width="9.140625" hidden="1" customWidth="1"/>
    <col min="8" max="8" width="22" hidden="1" customWidth="1"/>
    <col min="9" max="13" width="9.140625" hidden="1" customWidth="1"/>
    <col min="14" max="14" width="8.7109375" hidden="1" customWidth="1"/>
    <col min="15" max="16" width="9.140625" hidden="1" customWidth="1"/>
    <col min="17" max="20" width="0" hidden="1" customWidth="1"/>
  </cols>
  <sheetData>
    <row r="1" spans="1:12" s="208" customFormat="1" ht="32.25" customHeight="1" x14ac:dyDescent="0.25">
      <c r="A1" s="207" t="str">
        <f>VLOOKUP(61,Lang!A1:D2628,Lang!L1+1,FALSE)</f>
        <v>B-AD8 - Chladící zařízení</v>
      </c>
      <c r="E1" s="297" t="str">
        <f>VLOOKUP(129,Lang!A1:D2628,Lang!L1+1,FALSE)</f>
        <v>Navigace</v>
      </c>
      <c r="F1" s="298"/>
    </row>
    <row r="2" spans="1:12" ht="28.5" customHeight="1" thickBot="1" x14ac:dyDescent="0.3">
      <c r="A2" s="199" t="str">
        <f>VLOOKUP(130,Lang!A1:D2628,Lang!L1+1,FALSE)</f>
        <v>Metodický list indikátoru</v>
      </c>
      <c r="E2" s="100"/>
      <c r="F2" s="101"/>
    </row>
    <row r="3" spans="1:12" ht="28.5" customHeight="1" x14ac:dyDescent="0.25">
      <c r="A3" s="28" t="str">
        <f>VLOOKUP(183,Lang!A1:D2628,Lang!L1+1,FALSE)</f>
        <v>Vyberte ze seznamu</v>
      </c>
    </row>
    <row r="4" spans="1:12" x14ac:dyDescent="0.25">
      <c r="A4" s="87"/>
    </row>
    <row r="7" spans="1:12" ht="18.75" x14ac:dyDescent="0.3">
      <c r="A7" s="72" t="str">
        <f>VLOOKUP(139,Lang!A1:D2628,Lang!L$1+1,FALSE)</f>
        <v>Hodnota indikátoru</v>
      </c>
      <c r="B7" s="70" t="str">
        <f>IF(A4="",VLOOKUP(31,Lang!A1:I2628,Lang!L1+1,FALSE),VLOOKUP(VLOOKUP(A4,H14:I19,2,FALSE),K14:L18,2,FALSE))</f>
        <v>nezadáno</v>
      </c>
      <c r="C7" s="70" t="str">
        <f>IF(A4="",VLOOKUP(31,Lang!A1:I2628,Lang!L1+1,FALSE),VLOOKUP(A4,H14:I19,2,FALSE))</f>
        <v>nezadáno</v>
      </c>
    </row>
    <row r="9" spans="1:12" ht="15.75" thickBot="1" x14ac:dyDescent="0.3"/>
    <row r="10" spans="1:12" ht="18" thickBot="1" x14ac:dyDescent="0.35">
      <c r="A10" s="230" t="str">
        <f>VLOOKUP(268,Lang!A$1:D$2628,Lang!L$1+1,FALSE)</f>
        <v>Hodnota pro vložení do Klimaskenu</v>
      </c>
      <c r="B10" s="231" t="str">
        <f>IF(ISNUMBER(C7),C7,"")</f>
        <v/>
      </c>
    </row>
    <row r="14" spans="1:12" ht="15.75" thickBot="1" x14ac:dyDescent="0.3">
      <c r="H14" s="55" t="str">
        <f>VLOOKUP(177,Lang!A1:D2628,Lang!L$1+1,FALSE)</f>
        <v>Žádný  centrální chladící systém</v>
      </c>
      <c r="I14" s="26">
        <v>3</v>
      </c>
      <c r="K14">
        <v>3</v>
      </c>
      <c r="L14" t="s">
        <v>2</v>
      </c>
    </row>
    <row r="15" spans="1:12" ht="16.5" thickTop="1" thickBot="1" x14ac:dyDescent="0.3">
      <c r="H15" s="55" t="str">
        <f>VLOOKUP(178,Lang!A1:D2628,Lang!L$1+1,FALSE)</f>
        <v>Pasivní chlazení (prostřednictvím nízkoteplotních okruhů na konstrukci)</v>
      </c>
      <c r="I15" s="27">
        <v>1</v>
      </c>
      <c r="K15">
        <v>2.5</v>
      </c>
      <c r="L15" t="s">
        <v>3</v>
      </c>
    </row>
    <row r="16" spans="1:12" ht="16.5" thickTop="1" thickBot="1" x14ac:dyDescent="0.3">
      <c r="H16" s="55" t="str">
        <f>VLOOKUP(179,Lang!A1:D2628,Lang!L$1+1,FALSE)</f>
        <v>Větrací systém s rekuperací tepla (s bypassem)</v>
      </c>
      <c r="I16" s="26">
        <v>1.5</v>
      </c>
      <c r="K16">
        <v>2</v>
      </c>
      <c r="L16" t="s">
        <v>4</v>
      </c>
    </row>
    <row r="17" spans="8:12" ht="16.5" thickTop="1" thickBot="1" x14ac:dyDescent="0.3">
      <c r="H17" s="55" t="str">
        <f>VLOOKUP(180,Lang!A1:D2628,Lang!L$1+1,FALSE)</f>
        <v>Větrací systém s integrovaným chladičem</v>
      </c>
      <c r="I17" s="27">
        <v>2</v>
      </c>
      <c r="K17">
        <v>1.5</v>
      </c>
      <c r="L17" t="s">
        <v>5</v>
      </c>
    </row>
    <row r="18" spans="8:12" ht="16.5" thickTop="1" thickBot="1" x14ac:dyDescent="0.3">
      <c r="H18" s="55" t="str">
        <f>VLOOKUP(181,Lang!A1:D2628,Lang!L$1+1,FALSE)</f>
        <v>Větrací systém se zemním výměníkem</v>
      </c>
      <c r="I18" s="26">
        <v>1.5</v>
      </c>
      <c r="K18">
        <v>1</v>
      </c>
      <c r="L18" t="s">
        <v>6</v>
      </c>
    </row>
    <row r="19" spans="8:12" ht="16.5" thickTop="1" thickBot="1" x14ac:dyDescent="0.3">
      <c r="H19" s="55" t="str">
        <f>VLOOKUP(182,Lang!A1:D2628,Lang!L$1+1,FALSE)</f>
        <v>Klimatizační zařízení (dělená klimatizace)</v>
      </c>
      <c r="I19" s="27">
        <v>3</v>
      </c>
    </row>
    <row r="20" spans="8:12" ht="15.75" thickTop="1" x14ac:dyDescent="0.25"/>
    <row r="23" spans="8:12" ht="15.75" thickBot="1" x14ac:dyDescent="0.3">
      <c r="H23" s="29"/>
    </row>
    <row r="24" spans="8:12" ht="31.5" thickTop="1" thickBot="1" x14ac:dyDescent="0.3">
      <c r="H24" s="30" t="s">
        <v>23</v>
      </c>
      <c r="I24" s="24" t="s">
        <v>24</v>
      </c>
      <c r="J24" s="23"/>
    </row>
    <row r="25" spans="8:12" ht="16.5" thickTop="1" thickBot="1" x14ac:dyDescent="0.3">
      <c r="H25" s="55" t="s">
        <v>157</v>
      </c>
      <c r="I25" s="26">
        <v>3</v>
      </c>
      <c r="J25" s="25"/>
    </row>
    <row r="26" spans="8:12" ht="16.5" thickTop="1" thickBot="1" x14ac:dyDescent="0.3">
      <c r="H26" s="55" t="s">
        <v>159</v>
      </c>
      <c r="I26" s="27">
        <v>1</v>
      </c>
      <c r="J26" s="25"/>
    </row>
    <row r="27" spans="8:12" ht="16.5" thickTop="1" thickBot="1" x14ac:dyDescent="0.3">
      <c r="H27" s="55" t="s">
        <v>160</v>
      </c>
      <c r="I27" s="26">
        <v>1.5</v>
      </c>
      <c r="J27" s="25"/>
    </row>
    <row r="28" spans="8:12" ht="16.5" thickTop="1" thickBot="1" x14ac:dyDescent="0.3">
      <c r="H28" s="55" t="s">
        <v>161</v>
      </c>
      <c r="I28" s="27">
        <v>2</v>
      </c>
      <c r="J28" s="25"/>
    </row>
    <row r="29" spans="8:12" ht="16.5" thickTop="1" thickBot="1" x14ac:dyDescent="0.3">
      <c r="H29" s="55" t="s">
        <v>162</v>
      </c>
      <c r="I29" s="26">
        <v>1.5</v>
      </c>
      <c r="J29" s="25"/>
    </row>
    <row r="30" spans="8:12" ht="16.5" thickTop="1" thickBot="1" x14ac:dyDescent="0.3">
      <c r="H30" s="55" t="s">
        <v>164</v>
      </c>
      <c r="I30" s="27">
        <v>3</v>
      </c>
      <c r="J30" s="25"/>
    </row>
    <row r="31" spans="8:12" ht="15.75" thickTop="1" x14ac:dyDescent="0.25">
      <c r="H31" s="29"/>
    </row>
    <row r="32" spans="8:12" ht="15.75" thickBot="1" x14ac:dyDescent="0.3">
      <c r="H32" s="29"/>
    </row>
    <row r="33" spans="8:12" ht="15.75" thickBot="1" x14ac:dyDescent="0.3">
      <c r="H33" s="2" t="s">
        <v>2</v>
      </c>
      <c r="I33" s="3" t="s">
        <v>3</v>
      </c>
      <c r="J33" s="4" t="s">
        <v>4</v>
      </c>
      <c r="K33" s="5" t="s">
        <v>5</v>
      </c>
      <c r="L33" s="6" t="s">
        <v>6</v>
      </c>
    </row>
    <row r="34" spans="8:12" ht="15.75" thickBot="1" x14ac:dyDescent="0.3">
      <c r="H34" s="15">
        <v>3</v>
      </c>
      <c r="I34" s="7">
        <v>2.5</v>
      </c>
      <c r="J34" s="7">
        <v>2</v>
      </c>
      <c r="K34" s="7">
        <v>1.5</v>
      </c>
      <c r="L34" s="7">
        <v>1</v>
      </c>
    </row>
    <row r="35" spans="8:12" x14ac:dyDescent="0.25">
      <c r="H35" s="29"/>
    </row>
    <row r="36" spans="8:12" x14ac:dyDescent="0.25">
      <c r="H36" s="29"/>
    </row>
    <row r="37" spans="8:12" x14ac:dyDescent="0.25">
      <c r="H37" s="29"/>
    </row>
    <row r="38" spans="8:12" x14ac:dyDescent="0.25">
      <c r="H38" s="29"/>
    </row>
    <row r="39" spans="8:12" x14ac:dyDescent="0.25">
      <c r="H39" s="29"/>
    </row>
  </sheetData>
  <sheetProtection sheet="1" objects="1" scenarios="1"/>
  <mergeCells count="1">
    <mergeCell ref="E1:F1"/>
  </mergeCells>
  <conditionalFormatting sqref="B10">
    <cfRule type="iconSet" priority="1">
      <iconSet iconSet="3Symbols2">
        <cfvo type="percent" val="0"/>
        <cfvo type="percent" val="33"/>
        <cfvo type="percent" val="67"/>
      </iconSet>
    </cfRule>
  </conditionalFormatting>
  <dataValidations count="1">
    <dataValidation type="list" allowBlank="1" showInputMessage="1" showErrorMessage="1" sqref="A4">
      <formula1>$H$14:$H$19</formula1>
    </dataValidation>
  </dataValidations>
  <pageMargins left="0.7" right="0.7" top="0.78740157499999996" bottom="0.78740157499999996"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8"/>
  <sheetViews>
    <sheetView showGridLines="0" workbookViewId="0">
      <selection activeCell="A4" sqref="A4"/>
    </sheetView>
  </sheetViews>
  <sheetFormatPr defaultRowHeight="15" x14ac:dyDescent="0.25"/>
  <cols>
    <col min="1" max="1" width="113.140625" customWidth="1"/>
    <col min="2" max="2" width="24.140625" bestFit="1" customWidth="1"/>
    <col min="3" max="3" width="18.7109375" customWidth="1"/>
    <col min="4" max="4" width="11.5703125" bestFit="1" customWidth="1"/>
    <col min="7" max="7" width="9.28515625" customWidth="1"/>
    <col min="8" max="8" width="70.140625" hidden="1" customWidth="1"/>
    <col min="9" max="13" width="9.140625" hidden="1" customWidth="1"/>
    <col min="14" max="14" width="24.140625" hidden="1" customWidth="1"/>
    <col min="15" max="15" width="19.140625" hidden="1" customWidth="1"/>
    <col min="16" max="16" width="9.140625" hidden="1" customWidth="1"/>
    <col min="17" max="20" width="9.140625" customWidth="1"/>
  </cols>
  <sheetData>
    <row r="1" spans="1:16" s="208" customFormat="1" ht="32.25" customHeight="1" x14ac:dyDescent="0.25">
      <c r="A1" s="207" t="str">
        <f>VLOOKUP(62,Lang!A1:D2628,Lang!L1+1,FALSE)</f>
        <v>B-AD9 - Větrací zařízení</v>
      </c>
      <c r="E1" s="297" t="str">
        <f>VLOOKUP(129,Lang!A1:D2628,Lang!L1+1,FALSE)</f>
        <v>Navigace</v>
      </c>
      <c r="F1" s="298"/>
    </row>
    <row r="2" spans="1:16" ht="28.5" customHeight="1" thickBot="1" x14ac:dyDescent="0.3">
      <c r="A2" s="199" t="str">
        <f>VLOOKUP(130,Lang!A1:D2628,Lang!L1+1,FALSE)</f>
        <v>Metodický list indikátoru</v>
      </c>
      <c r="E2" s="100"/>
      <c r="F2" s="101"/>
      <c r="H2" s="161" t="s">
        <v>165</v>
      </c>
    </row>
    <row r="3" spans="1:16" ht="29.25" customHeight="1" x14ac:dyDescent="0.25">
      <c r="A3" s="28" t="str">
        <f>VLOOKUP(183,Lang!A1:D2628,Lang!L1+1,FALSE)</f>
        <v>Vyberte ze seznamu</v>
      </c>
    </row>
    <row r="4" spans="1:16" ht="15.75" thickBot="1" x14ac:dyDescent="0.3">
      <c r="A4" s="87"/>
    </row>
    <row r="5" spans="1:16" ht="16.5" thickTop="1" thickBot="1" x14ac:dyDescent="0.3">
      <c r="A5" s="28"/>
      <c r="H5" s="55" t="str">
        <f>VLOOKUP(184,Lang!A1:D2628,Lang!L1+1,FALSE)</f>
        <v>Bez větracího systému, přirozené větrání okny a infiltrací</v>
      </c>
      <c r="I5" s="33">
        <v>3</v>
      </c>
      <c r="K5">
        <v>3</v>
      </c>
      <c r="L5" t="s">
        <v>2</v>
      </c>
      <c r="N5" s="30" t="s">
        <v>170</v>
      </c>
      <c r="O5" s="170" t="s">
        <v>171</v>
      </c>
      <c r="P5" s="31"/>
    </row>
    <row r="6" spans="1:16" ht="16.5" thickTop="1" thickBot="1" x14ac:dyDescent="0.3">
      <c r="H6" s="55" t="str">
        <f>VLOOKUP(267,Lang!A1:D2628,Lang!L1+1,FALSE)</f>
        <v>Bez větracího systému, pouze odsávání kuchyně, WC a koupelny</v>
      </c>
      <c r="I6" s="35">
        <v>2.5</v>
      </c>
      <c r="K6">
        <v>2.5</v>
      </c>
      <c r="L6" t="s">
        <v>3</v>
      </c>
      <c r="N6" s="55" t="s">
        <v>185</v>
      </c>
      <c r="O6" s="33">
        <v>3</v>
      </c>
      <c r="P6" s="32"/>
    </row>
    <row r="7" spans="1:16" ht="20.25" thickTop="1" thickBot="1" x14ac:dyDescent="0.35">
      <c r="A7" s="72" t="str">
        <f>VLOOKUP(139,Lang!A1:D2628,Lang!L$1+1,FALSE)</f>
        <v>Hodnota indikátoru</v>
      </c>
      <c r="B7" s="70" t="str">
        <f>IF(A4="",VLOOKUP(31,Lang!A1:I2628,Lang!L1+1,FALSE),VLOOKUP(VLOOKUP(A4,H5:I10,2,FALSE),K5:L10,2,FALSE))</f>
        <v>nezadáno</v>
      </c>
      <c r="C7" s="70" t="str">
        <f>IF(A4="",VLOOKUP(31,Lang!A1:I2628,Lang!L1+1,FALSE),VLOOKUP(A4,H5:I10,2,FALSE))</f>
        <v>nezadáno</v>
      </c>
      <c r="H7" s="55" t="str">
        <f>VLOOKUP(185,Lang!A1:D2628,Lang!L1+1,FALSE)</f>
        <v xml:space="preserve">Větrací systém s rekuperací </v>
      </c>
      <c r="I7" s="35">
        <v>2</v>
      </c>
      <c r="K7">
        <v>2</v>
      </c>
      <c r="L7" t="s">
        <v>4</v>
      </c>
      <c r="N7" s="55" t="s">
        <v>166</v>
      </c>
      <c r="O7" s="35">
        <v>2</v>
      </c>
      <c r="P7" s="34"/>
    </row>
    <row r="8" spans="1:16" ht="16.5" thickTop="1" thickBot="1" x14ac:dyDescent="0.3">
      <c r="A8" s="28"/>
      <c r="H8" s="55" t="str">
        <f>VLOOKUP(186,Lang!A1:D2628,Lang!L1+1,FALSE)</f>
        <v>Větrací systém s rekuperací a letním bypassem</v>
      </c>
      <c r="I8" s="33">
        <v>2.5</v>
      </c>
      <c r="K8">
        <v>1.5</v>
      </c>
      <c r="L8" t="s">
        <v>5</v>
      </c>
      <c r="N8" s="55" t="s">
        <v>167</v>
      </c>
      <c r="O8" s="33">
        <v>2.5</v>
      </c>
      <c r="P8" s="32"/>
    </row>
    <row r="9" spans="1:16" ht="16.5" thickTop="1" thickBot="1" x14ac:dyDescent="0.3">
      <c r="H9" s="55" t="str">
        <f>VLOOKUP(187,Lang!A1:D2628,Lang!L1+1,FALSE)</f>
        <v>Větrací systém s rekuperací a pasivním chlazením</v>
      </c>
      <c r="I9" s="35">
        <v>1.5</v>
      </c>
      <c r="K9">
        <v>1</v>
      </c>
      <c r="L9" t="s">
        <v>6</v>
      </c>
      <c r="N9" s="55" t="s">
        <v>168</v>
      </c>
      <c r="O9" s="35">
        <v>1.5</v>
      </c>
      <c r="P9" s="34"/>
    </row>
    <row r="10" spans="1:16" ht="18.75" thickTop="1" thickBot="1" x14ac:dyDescent="0.35">
      <c r="A10" s="230" t="str">
        <f>VLOOKUP(268,Lang!A$1:D$2628,Lang!L$1+1,FALSE)</f>
        <v>Hodnota pro vložení do Klimaskenu</v>
      </c>
      <c r="B10" s="231" t="str">
        <f>IF(ISNUMBER(C7),C7,"")</f>
        <v/>
      </c>
      <c r="H10" t="str">
        <f>VLOOKUP(188,Lang!A1:D2628,Lang!L1+1,FALSE)</f>
        <v>Větrací systém s rekuperací a aktivním chlazením</v>
      </c>
      <c r="I10" s="228">
        <v>1</v>
      </c>
      <c r="N10" s="55" t="s">
        <v>169</v>
      </c>
      <c r="O10" s="33">
        <v>1</v>
      </c>
      <c r="P10" s="32"/>
    </row>
    <row r="11" spans="1:16" ht="15.75" thickBot="1" x14ac:dyDescent="0.3">
      <c r="A11" s="28"/>
      <c r="H11" s="2" t="s">
        <v>2</v>
      </c>
      <c r="I11" s="3" t="s">
        <v>3</v>
      </c>
      <c r="J11" s="4" t="s">
        <v>4</v>
      </c>
      <c r="K11" s="5" t="s">
        <v>5</v>
      </c>
      <c r="L11" s="6" t="s">
        <v>6</v>
      </c>
    </row>
    <row r="12" spans="1:16" ht="15.75" thickBot="1" x14ac:dyDescent="0.3">
      <c r="A12" s="28"/>
      <c r="H12" s="15">
        <v>3</v>
      </c>
      <c r="I12" s="7">
        <v>2.5</v>
      </c>
      <c r="J12" s="7">
        <v>2</v>
      </c>
      <c r="K12" s="7">
        <v>1.5</v>
      </c>
      <c r="L12" s="7">
        <v>1</v>
      </c>
    </row>
    <row r="13" spans="1:16" x14ac:dyDescent="0.25">
      <c r="A13" s="28"/>
    </row>
    <row r="14" spans="1:16" x14ac:dyDescent="0.25">
      <c r="A14" s="28"/>
    </row>
    <row r="15" spans="1:16" ht="15.75" thickBot="1" x14ac:dyDescent="0.3">
      <c r="A15" s="28"/>
    </row>
    <row r="16" spans="1:16" ht="19.5" thickBot="1" x14ac:dyDescent="0.3">
      <c r="A16" s="28"/>
      <c r="H16" s="78"/>
      <c r="I16" s="79"/>
      <c r="J16" s="80"/>
      <c r="K16" s="81"/>
      <c r="L16" s="82"/>
    </row>
    <row r="17" spans="1:9" ht="15.75" thickBot="1" x14ac:dyDescent="0.3">
      <c r="A17" s="28"/>
    </row>
    <row r="18" spans="1:9" ht="19.5" thickBot="1" x14ac:dyDescent="0.3">
      <c r="A18" s="28"/>
      <c r="I18" s="79"/>
    </row>
    <row r="19" spans="1:9" x14ac:dyDescent="0.25">
      <c r="A19" s="28"/>
    </row>
    <row r="20" spans="1:9" x14ac:dyDescent="0.25">
      <c r="A20" s="28"/>
    </row>
    <row r="21" spans="1:9" x14ac:dyDescent="0.25">
      <c r="A21" s="28"/>
    </row>
    <row r="22" spans="1:9" x14ac:dyDescent="0.25">
      <c r="A22" s="28"/>
    </row>
    <row r="23" spans="1:9" x14ac:dyDescent="0.25">
      <c r="A23" s="28"/>
    </row>
    <row r="24" spans="1:9" x14ac:dyDescent="0.25">
      <c r="A24" s="29"/>
    </row>
    <row r="27" spans="1:9" x14ac:dyDescent="0.25">
      <c r="A27" s="29"/>
    </row>
    <row r="28" spans="1:9" x14ac:dyDescent="0.25">
      <c r="A28" s="29"/>
    </row>
  </sheetData>
  <sheetProtection sheet="1" objects="1" scenarios="1"/>
  <mergeCells count="1">
    <mergeCell ref="E1:F1"/>
  </mergeCells>
  <conditionalFormatting sqref="B10">
    <cfRule type="iconSet" priority="1">
      <iconSet iconSet="3Symbols2">
        <cfvo type="percent" val="0"/>
        <cfvo type="percent" val="33"/>
        <cfvo type="percent" val="67"/>
      </iconSet>
    </cfRule>
  </conditionalFormatting>
  <conditionalFormatting sqref="A4">
    <cfRule type="expression" dxfId="30" priority="12">
      <formula>$B$7=$K$16</formula>
    </cfRule>
  </conditionalFormatting>
  <dataValidations count="1">
    <dataValidation type="list" allowBlank="1" showInputMessage="1" showErrorMessage="1" sqref="A4">
      <formula1>$H$5:$H$10</formula1>
    </dataValidation>
  </dataValidations>
  <pageMargins left="0.7" right="0.7" top="0.78740157499999996" bottom="0.78740157499999996"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9"/>
  <sheetViews>
    <sheetView showGridLines="0" topLeftCell="A8" workbookViewId="0">
      <selection activeCell="D15" sqref="D15"/>
    </sheetView>
  </sheetViews>
  <sheetFormatPr defaultRowHeight="15" x14ac:dyDescent="0.25"/>
  <cols>
    <col min="1" max="1" width="78.7109375" customWidth="1"/>
    <col min="2" max="2" width="33.140625" customWidth="1"/>
    <col min="3" max="3" width="13.42578125" customWidth="1"/>
    <col min="9" max="9" width="0" hidden="1" customWidth="1"/>
    <col min="10" max="10" width="28.5703125" hidden="1" customWidth="1"/>
    <col min="11" max="11" width="18.5703125" hidden="1" customWidth="1"/>
    <col min="12" max="13" width="0" hidden="1" customWidth="1"/>
  </cols>
  <sheetData>
    <row r="1" spans="1:11" ht="21" x14ac:dyDescent="0.25">
      <c r="A1" s="207" t="str">
        <f>VLOOKUP(63,Lang!A1:D2628,Lang!L1+1,FALSE)</f>
        <v>B-AD10 - Kapacita budovy pro akumulaci dešťové vody</v>
      </c>
      <c r="B1" s="208"/>
      <c r="C1" s="208"/>
      <c r="D1" s="208"/>
      <c r="E1" s="297" t="str">
        <f>VLOOKUP(129,Lang!A1:D2628,Lang!L1+1,FALSE)</f>
        <v>Navigace</v>
      </c>
      <c r="F1" s="298"/>
      <c r="G1" s="208"/>
    </row>
    <row r="2" spans="1:11" ht="30.75" customHeight="1" thickBot="1" x14ac:dyDescent="0.3">
      <c r="A2" s="199" t="str">
        <f>VLOOKUP(130,Lang!A1:D2628,Lang!L1+1,FALSE)</f>
        <v>Metodický list indikátoru</v>
      </c>
      <c r="E2" s="100"/>
      <c r="F2" s="101"/>
    </row>
    <row r="3" spans="1:11" ht="82.5" customHeight="1" x14ac:dyDescent="0.25">
      <c r="A3" s="52" t="str">
        <f>VLOOKUP(194,Lang!A1:D2628,Lang!L$1+1,FALSE)</f>
        <v>Vložte hodnoty dle výpočtové kalkulačky TZB.info nebo použít výpočtovou tabulku níže</v>
      </c>
      <c r="B3" s="98" t="str">
        <f>VLOOKUP(189,Lang!$A$1:$D$2628,Lang!$L$1+1,FALSE)</f>
        <v>Online kalkulačka TZB.info</v>
      </c>
      <c r="C3" s="139"/>
      <c r="D3" s="139"/>
      <c r="E3" s="139"/>
      <c r="F3" s="139"/>
      <c r="G3" s="139"/>
    </row>
    <row r="5" spans="1:11" s="29" customFormat="1" ht="17.25" x14ac:dyDescent="0.25">
      <c r="A5" s="240" t="str">
        <f>VLOOKUP(190,Lang!A1:D2628,Lang!L1+1,FALSE)</f>
        <v>Objem nádrže dle spotřeby</v>
      </c>
      <c r="B5" s="251"/>
      <c r="C5" s="165" t="s">
        <v>618</v>
      </c>
      <c r="D5" s="165"/>
      <c r="E5" s="165"/>
      <c r="F5" s="165"/>
      <c r="G5" s="165"/>
    </row>
    <row r="6" spans="1:11" s="29" customFormat="1" ht="17.25" x14ac:dyDescent="0.25">
      <c r="A6" s="240" t="str">
        <f>VLOOKUP(191,Lang!A1:D2628,Lang!L1+1,FALSE)</f>
        <v>Objem nádrže dle množství využitelné srážkové vody</v>
      </c>
      <c r="B6" s="251"/>
      <c r="C6" s="165" t="s">
        <v>618</v>
      </c>
      <c r="D6" s="165"/>
      <c r="E6" s="165"/>
      <c r="F6" s="165"/>
      <c r="G6" s="165"/>
    </row>
    <row r="7" spans="1:11" s="29" customFormat="1" ht="17.25" x14ac:dyDescent="0.25">
      <c r="A7" s="240" t="str">
        <f>VLOOKUP(192,Lang!A1:D2628,Lang!L1+1,FALSE)</f>
        <v>Instalovaný objem nádrží na zachycení dešťové vody</v>
      </c>
      <c r="B7" s="251"/>
      <c r="C7" s="165" t="s">
        <v>618</v>
      </c>
      <c r="D7" s="165"/>
      <c r="E7" s="165"/>
      <c r="F7" s="165"/>
      <c r="G7" s="165"/>
    </row>
    <row r="8" spans="1:11" x14ac:dyDescent="0.25">
      <c r="A8" s="28"/>
    </row>
    <row r="9" spans="1:11" x14ac:dyDescent="0.25">
      <c r="A9" s="28" t="str">
        <f>VLOOKUP(193,Lang!A1:D2628,Lang!L$1+1,FALSE)</f>
        <v>Vypočtená hodnota</v>
      </c>
      <c r="B9" s="135" t="str">
        <f>IF(MIN(B5:B6)=0,VLOOKUP(42,Lang!A1:D2628,Lang!L1+1,FALSE),B7/MIN(B5:B6))</f>
        <v>nelze vypočítat</v>
      </c>
      <c r="J9" t="s">
        <v>1001</v>
      </c>
    </row>
    <row r="10" spans="1:11" ht="15.75" thickBot="1" x14ac:dyDescent="0.3">
      <c r="A10" s="28"/>
      <c r="B10" s="135"/>
      <c r="J10" t="str">
        <f>CONCATENATE(VLOOKUP(297,Lang!$A$1:$D$2628,Lang!$L$1+1,FALSE),VLOOKUP(299,Lang!$A$1:$D$2628,Lang!$L$1+1,FALSE))</f>
        <v>Plochá střechaasfalt s násypem křemíku</v>
      </c>
      <c r="K10">
        <v>0.6</v>
      </c>
    </row>
    <row r="11" spans="1:11" ht="18" thickBot="1" x14ac:dyDescent="0.35">
      <c r="A11" s="230" t="str">
        <f>VLOOKUP(268,Lang!A$1:D$2628,Lang!L$1+1,FALSE)</f>
        <v>Hodnota pro vložení do Klimaskenu</v>
      </c>
      <c r="B11" s="250" t="str">
        <f>IF(ISNUMBER(B9),B9,"")</f>
        <v/>
      </c>
      <c r="J11" t="str">
        <f>CONCATENATE(VLOOKUP(297,Lang!$A$1:$D$2628,Lang!$L$1+1,FALSE),VLOOKUP(300,Lang!$A$1:$D$2628,Lang!$L$1+1,FALSE))</f>
        <v>Plochá střechaplast</v>
      </c>
      <c r="K11">
        <v>0.7</v>
      </c>
    </row>
    <row r="12" spans="1:11" x14ac:dyDescent="0.25">
      <c r="A12" s="28"/>
      <c r="J12" t="str">
        <f>CONCATENATE(VLOOKUP(297,Lang!$A$1:$D$2628,Lang!$L$1+1,FALSE),VLOOKUP(301,Lang!$A$1:$D$2628,Lang!$L$1+1,FALSE))</f>
        <v>Plochá střechapozinkovaný plech</v>
      </c>
      <c r="K12">
        <v>0.7</v>
      </c>
    </row>
    <row r="13" spans="1:11" x14ac:dyDescent="0.25">
      <c r="A13" s="98"/>
      <c r="J13" t="str">
        <f>CONCATENATE(VLOOKUP(297,Lang!$A$1:$D$2628,Lang!$L$1+1,FALSE),VLOOKUP(302,Lang!$A$1:$D$2628,Lang!$L$1+1,FALSE))</f>
        <v>Plochá střechavegetační střecha</v>
      </c>
      <c r="K13">
        <v>0.2</v>
      </c>
    </row>
    <row r="14" spans="1:11" x14ac:dyDescent="0.25">
      <c r="J14" t="str">
        <f>CONCATENATE(VLOOKUP(298,Lang!$A$1:$D$2628,Lang!$L$1+1,FALSE),VLOOKUP(303,Lang!$A$1:$D$2628,Lang!$L$1+1,FALSE))</f>
        <v>Šikmá střechapálené tašky</v>
      </c>
      <c r="K14">
        <v>0.75</v>
      </c>
    </row>
    <row r="15" spans="1:11" x14ac:dyDescent="0.25">
      <c r="A15" s="1" t="str">
        <f>VLOOKUP(127,Lang!$A$1:$D$2628,Lang!$L$1+1,FALSE)</f>
        <v>Pomůcka - pomocný výpočet</v>
      </c>
      <c r="J15" t="str">
        <f>CONCATENATE(VLOOKUP(298,Lang!$A$1:$D$2628,Lang!$L$1+1,FALSE),VLOOKUP(304,Lang!$A$1:$D$2628,Lang!$L$1+1,FALSE))</f>
        <v>Šikmá střechabetonové tašky</v>
      </c>
      <c r="K15">
        <v>0.75</v>
      </c>
    </row>
    <row r="16" spans="1:11" x14ac:dyDescent="0.25">
      <c r="J16" t="str">
        <f>CONCATENATE(VLOOKUP(298,Lang!$A$1:$D$2628,Lang!$L$1+1,FALSE),VLOOKUP(305,Lang!$A$1:$D$2628,Lang!$L$1+1,FALSE))</f>
        <v>Šikmá střechabřidlice</v>
      </c>
      <c r="K16">
        <v>0.75</v>
      </c>
    </row>
    <row r="17" spans="1:11" x14ac:dyDescent="0.25">
      <c r="A17" s="245" t="str">
        <f>VLOOKUP(312,Lang!$A$1:$D$2628,Lang!$L$1+1,FALSE)</f>
        <v>Potenciál zachycení srážkové vody</v>
      </c>
      <c r="J17" t="str">
        <f>CONCATENATE(VLOOKUP(298,Lang!$A$1:$D$2628,Lang!$L$1+1,FALSE),VLOOKUP(306,Lang!$A$1:$D$2628,Lang!$L$1+1,FALSE))</f>
        <v>Šikmá střechašindel</v>
      </c>
      <c r="K17">
        <v>0.6</v>
      </c>
    </row>
    <row r="18" spans="1:11" x14ac:dyDescent="0.25">
      <c r="A18" s="162" t="str">
        <f>VLOOKUP(270,Lang!$A$1:$D$2628,Lang!$L$1+1,FALSE)</f>
        <v>Množství srážek (mm/rok)</v>
      </c>
      <c r="B18" s="291"/>
      <c r="C18" s="162"/>
      <c r="D18" s="162"/>
      <c r="E18" s="162"/>
      <c r="F18" s="162"/>
      <c r="G18" s="162"/>
      <c r="H18" s="162"/>
      <c r="J18" t="str">
        <f>CONCATENATE(VLOOKUP(298,Lang!$A$1:$D$2628,Lang!$L$1+1,FALSE),VLOOKUP(307,Lang!$A$1:$D$2628,Lang!$L$1+1,FALSE))</f>
        <v>Šikmá střechapozinkovaný plech</v>
      </c>
      <c r="K18">
        <v>0.8</v>
      </c>
    </row>
    <row r="19" spans="1:11" x14ac:dyDescent="0.25">
      <c r="A19" s="162" t="str">
        <f>VLOOKUP(271,Lang!$A$1:$D$2628,Lang!$L$1+1,FALSE)</f>
        <v>Délka půdorysu včetně přesahů (m)</v>
      </c>
      <c r="B19" s="291"/>
      <c r="C19" s="162"/>
      <c r="D19" s="162"/>
      <c r="E19" s="162"/>
      <c r="F19" s="162"/>
      <c r="G19" s="162"/>
      <c r="H19" s="162"/>
      <c r="J19" t="str">
        <f>CONCATENATE(VLOOKUP(298,Lang!$A$1:$D$2628,Lang!$L$1+1,FALSE),VLOOKUP(308,Lang!$A$1:$D$2628,Lang!$L$1+1,FALSE))</f>
        <v>Šikmá střechaplast</v>
      </c>
      <c r="K19">
        <v>0.8</v>
      </c>
    </row>
    <row r="20" spans="1:11" x14ac:dyDescent="0.25">
      <c r="A20" s="162" t="str">
        <f>VLOOKUP(272,Lang!$A$1:$D$2628,Lang!$L$1+1,FALSE)</f>
        <v>Šířka půdorysu včetně přesahů (m)</v>
      </c>
      <c r="B20" s="291"/>
      <c r="C20" s="162"/>
      <c r="D20" s="162"/>
      <c r="E20" s="162"/>
      <c r="F20" s="162"/>
      <c r="G20" s="162"/>
      <c r="H20" s="162"/>
      <c r="J20" t="str">
        <f>CONCATENATE(VLOOKUP(298,Lang!$A$1:$D$2628,Lang!$L$1+1,FALSE),VLOOKUP(309,Lang!$A$1:$D$2628,Lang!$L$1+1,FALSE))</f>
        <v>Šikmá střechavegetační střecha</v>
      </c>
      <c r="K20">
        <v>0.25</v>
      </c>
    </row>
    <row r="21" spans="1:11" x14ac:dyDescent="0.25">
      <c r="A21" s="162" t="str">
        <f>VLOOKUP(273,Lang!$A$1:$D$2628,Lang!$L$1+1,FALSE)</f>
        <v>Využitelná plocha střechy (m²)</v>
      </c>
      <c r="B21" s="291"/>
      <c r="C21" s="162">
        <f>B19*B20</f>
        <v>0</v>
      </c>
      <c r="D21" s="162" t="str">
        <f>VLOOKUP(295,Lang!$A$1:$D$2628,Lang!$L$1+1,FALSE)</f>
        <v>Navrhovaná hodnota</v>
      </c>
      <c r="E21" s="162"/>
      <c r="F21" s="162"/>
      <c r="G21" s="162"/>
      <c r="H21" s="162"/>
    </row>
    <row r="22" spans="1:11" x14ac:dyDescent="0.25">
      <c r="A22" s="162" t="str">
        <f>VLOOKUP(296,Lang!$A$1:$D$2628,Lang!$L$1+1,FALSE)</f>
        <v>Druh střechy</v>
      </c>
      <c r="B22" s="291"/>
      <c r="C22" s="162"/>
      <c r="D22" s="162"/>
      <c r="E22" s="162"/>
      <c r="F22" s="162"/>
      <c r="G22" s="162"/>
      <c r="H22" s="162"/>
      <c r="J22" t="s">
        <v>1008</v>
      </c>
      <c r="K22" t="e">
        <f>VLOOKUP(CONCATENATE(B22,B23),J10:K20,2,FALSE)</f>
        <v>#N/A</v>
      </c>
    </row>
    <row r="23" spans="1:11" x14ac:dyDescent="0.25">
      <c r="A23" s="162" t="str">
        <f>VLOOKUP(310,Lang!$A$1:$D$2628,Lang!$L$1+1,FALSE)</f>
        <v>Materiál střešní krytiny</v>
      </c>
      <c r="B23" s="291"/>
      <c r="C23" s="162"/>
      <c r="D23" s="162"/>
      <c r="E23" s="162"/>
      <c r="F23" s="162"/>
      <c r="G23" s="162"/>
      <c r="H23" s="162"/>
    </row>
    <row r="24" spans="1:11" x14ac:dyDescent="0.25">
      <c r="A24" s="162"/>
      <c r="B24" s="162"/>
      <c r="C24" s="162"/>
      <c r="D24" s="162"/>
      <c r="E24" s="162"/>
      <c r="F24" s="162"/>
      <c r="G24" s="162"/>
      <c r="H24" s="162"/>
    </row>
    <row r="25" spans="1:11" ht="19.5" customHeight="1" x14ac:dyDescent="0.25">
      <c r="A25" s="162" t="str">
        <f>VLOOKUP(274,Lang!$A$1:$D$2628,Lang!$L$1+1,FALSE)</f>
        <v>Koeficient odtoku střechy</v>
      </c>
      <c r="B25" s="162" t="str">
        <f>IF(ISNUMBER(K22),K22,VLOOKUP(31,Lang!A1:D2628,Lang!L1+1,FALSE))</f>
        <v>nezadáno</v>
      </c>
      <c r="C25" s="162"/>
      <c r="D25" s="162"/>
      <c r="E25" s="162"/>
      <c r="F25" s="162"/>
      <c r="G25" s="162"/>
      <c r="H25" s="162"/>
    </row>
    <row r="26" spans="1:11" ht="31.5" customHeight="1" x14ac:dyDescent="0.25">
      <c r="A26" s="162" t="str">
        <f>VLOOKUP(275,Lang!$A$1:$D$2628,Lang!$L$1+1,FALSE)</f>
        <v>Koeficient účinnosti filtru mechanických nečistot</v>
      </c>
      <c r="B26" s="291"/>
      <c r="C26" s="304" t="str">
        <f>VLOOKUP(311,Lang!$A$1:$D$2628,Lang!$L$1+1,FALSE)</f>
        <v>Koeficient odtoku filtru mechanických nečistot udává výrobce. Pokud jej neznáte, zadejte obvyklou hodnotu 0,9</v>
      </c>
      <c r="D26" s="304"/>
      <c r="E26" s="304"/>
      <c r="F26" s="304"/>
      <c r="G26" s="304"/>
      <c r="H26" s="304"/>
    </row>
    <row r="27" spans="1:11" x14ac:dyDescent="0.25">
      <c r="A27" s="243" t="str">
        <f>VLOOKUP(276,Lang!$A$1:$D$2628,Lang!$L$1+1,FALSE)</f>
        <v>Množství zachycené srážkové vody Q (m³/rok):</v>
      </c>
      <c r="B27" s="244" t="str">
        <f>IF(AND(ISNUMBER(B18),ISNUMBER(B19),ISNUMBER(B20),ISNUMBER(B21),ISNUMBER(B25),ISNUMBER(B26)),B18/1000*B21*B25*B26,VLOOKUP(42,Lang!A1:D2628,Lang!L1+1))</f>
        <v>nelze vypočítat</v>
      </c>
    </row>
    <row r="28" spans="1:11" x14ac:dyDescent="0.25">
      <c r="A28" s="162"/>
    </row>
    <row r="29" spans="1:11" x14ac:dyDescent="0.25">
      <c r="A29" s="245" t="str">
        <f>VLOOKUP(313,Lang!$A$1:$D$2628,Lang!$L$1+1,FALSE)</f>
        <v>Objem nádrže dle spotřeby</v>
      </c>
    </row>
    <row r="30" spans="1:11" x14ac:dyDescent="0.25">
      <c r="A30" s="246" t="str">
        <f>VLOOKUP(314,Lang!$A$1:$D$2628,Lang!$L$1+1,FALSE)</f>
        <v>Počet obyvatel v domácnosti (B-POP4)</v>
      </c>
      <c r="B30">
        <v>4</v>
      </c>
    </row>
    <row r="31" spans="1:11" x14ac:dyDescent="0.25">
      <c r="A31" t="str">
        <f>VLOOKUP(315,Lang!$A$1:$D$2628,Lang!$L$1+1,FALSE)</f>
        <v>Celková spotřeba veškeré vody na jednoho obyvatele a den (l)</v>
      </c>
      <c r="B31" s="292"/>
    </row>
    <row r="32" spans="1:11" x14ac:dyDescent="0.25">
      <c r="A32" t="str">
        <f>VLOOKUP(316,Lang!$A$1:$D$2628,Lang!$L$1+1,FALSE)</f>
        <v>Koeficient využití srážkové vody</v>
      </c>
      <c r="B32" s="292"/>
      <c r="C32" t="str">
        <f>VLOOKUP(319,Lang!$A$1:$D$2628,Lang!$L$1+1,FALSE)</f>
        <v>Obvyklá hodnota je 0,5</v>
      </c>
    </row>
    <row r="33" spans="1:3" x14ac:dyDescent="0.25">
      <c r="A33" t="str">
        <f>VLOOKUP(317,Lang!$A$1:$D$2628,Lang!$L$1+1,FALSE)</f>
        <v>Koeficient optimální velikosti</v>
      </c>
      <c r="B33" s="292"/>
      <c r="C33" t="str">
        <f>VLOOKUP(320,Lang!$A$1:$D$2628,Lang!$L$1+1,FALSE)</f>
        <v>Obvyklá hodnota je 20</v>
      </c>
    </row>
    <row r="34" spans="1:3" x14ac:dyDescent="0.25">
      <c r="A34" s="247" t="str">
        <f>VLOOKUP(318,Lang!$A$1:$D$2628,Lang!$L$1+1,FALSE)</f>
        <v>Objem nádrže dle spotřeby vody (m³)</v>
      </c>
      <c r="B34" s="247" t="str">
        <f>IF(AND(B30&gt;0,ISNUMBER(B31),ISNUMBER(B32),ISNUMBER(B33)),B30*B31/1000*B32*B33,VLOOKUP(42,Lang!A1:D2628,Lang!L1+1))</f>
        <v>nelze vypočítat</v>
      </c>
      <c r="C34" s="246" t="str">
        <f>IF(ISNUMBER(B27),CONCATENATE(VLOOKUP(321,Lang!$A$1:$D$2628,Lang!$L$1+1,FALSE)," B5"),"")</f>
        <v/>
      </c>
    </row>
    <row r="36" spans="1:3" x14ac:dyDescent="0.25">
      <c r="A36" s="245" t="str">
        <f>VLOOKUP(322,Lang!$A$1:$D$2628,Lang!$L$1+1,FALSE)</f>
        <v>Objem nádrže dle množství využitelné srážkové vody</v>
      </c>
    </row>
    <row r="37" spans="1:3" x14ac:dyDescent="0.25">
      <c r="A37" t="str">
        <f>VLOOKUP(323,Lang!$A$1:$D$2628,Lang!$L$1+1,FALSE)</f>
        <v>Množství odvedené srážkové vody</v>
      </c>
      <c r="B37" t="str">
        <f>+B27</f>
        <v>nelze vypočítat</v>
      </c>
    </row>
    <row r="38" spans="1:3" x14ac:dyDescent="0.25">
      <c r="A38" t="str">
        <f>VLOOKUP(317,Lang!$A$1:$D$2628,Lang!$L$1+1,FALSE)</f>
        <v>Koeficient optimální velikosti</v>
      </c>
      <c r="B38" t="str">
        <f>IF(ISNUMBER(B33),B33,VLOOKUP(31,Lang!A1:D2628,Lang!L1+1))</f>
        <v>nezadáno</v>
      </c>
    </row>
    <row r="39" spans="1:3" x14ac:dyDescent="0.25">
      <c r="A39" s="244" t="str">
        <f>VLOOKUP(318,Lang!$A$1:$D$2628,Lang!$L$1+1,FALSE)</f>
        <v>Objem nádrže dle spotřeby vody (m³)</v>
      </c>
      <c r="B39" s="247" t="str">
        <f>IF(AND(ISNUMBER(B37),ISNUMBER(B38)),B38*B37/365,VLOOKUP(42,Lang!A1:D2628,Lang!L1+1))</f>
        <v>nelze vypočítat</v>
      </c>
      <c r="C39" s="246" t="str">
        <f>IF(ISNUMBER(B27),CONCATENATE(VLOOKUP(321,Lang!$A$1:$D$2628,Lang!$L$1+1,FALSE)," B6"),"")</f>
        <v/>
      </c>
    </row>
  </sheetData>
  <sheetProtection sheet="1" objects="1" scenarios="1"/>
  <mergeCells count="2">
    <mergeCell ref="E1:F1"/>
    <mergeCell ref="C26:H26"/>
  </mergeCells>
  <conditionalFormatting sqref="B11">
    <cfRule type="iconSet" priority="1">
      <iconSet iconSet="3Symbols2">
        <cfvo type="percent" val="0"/>
        <cfvo type="percent" val="33"/>
        <cfvo type="percent" val="67"/>
      </iconSet>
    </cfRule>
  </conditionalFormatting>
  <dataValidations count="1">
    <dataValidation type="list" allowBlank="1" showInputMessage="1" showErrorMessage="1" sqref="B23">
      <formula1>INDIRECT(SUBSTITUTE($B$22," ",""))</formula1>
    </dataValidation>
  </dataValidations>
  <hyperlinks>
    <hyperlink ref="B3" r:id="rId1" display="https://voda.tzb-info.cz/tabulky-a-vypocty/105-posouzeni-moznosti-vyuziti-srazkove-vody"/>
    <hyperlink ref="A30" location="'B-POP4'!B4" display="'B-POP4'!B4"/>
    <hyperlink ref="C34" location="'B-AD10'!B5" display="'B-AD10'!B5"/>
    <hyperlink ref="C39" location="'B-AD10'!B6" display="'B-AD10'!B6"/>
  </hyperlinks>
  <pageMargins left="0.7" right="0.7" top="0.78740157499999996" bottom="0.78740157499999996" header="0.3" footer="0.3"/>
  <pageSetup paperSize="9" orientation="portrait" horizontalDpi="0"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INDIRECT(CONCATENATE("typst",Lang!$L$1))</xm:f>
          </x14:formula1>
          <xm:sqref>B22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9"/>
  <sheetViews>
    <sheetView showGridLines="0" workbookViewId="0">
      <selection activeCell="N21" sqref="N21"/>
    </sheetView>
  </sheetViews>
  <sheetFormatPr defaultRowHeight="15" x14ac:dyDescent="0.25"/>
  <cols>
    <col min="1" max="1" width="3" customWidth="1"/>
    <col min="2" max="2" width="117.7109375" customWidth="1"/>
    <col min="3" max="3" width="19.5703125" customWidth="1"/>
    <col min="4" max="4" width="19.28515625" customWidth="1"/>
    <col min="6" max="6" width="9.140625" customWidth="1"/>
    <col min="7" max="13" width="9.140625" hidden="1" customWidth="1"/>
    <col min="14" max="14" width="9.140625" customWidth="1"/>
  </cols>
  <sheetData>
    <row r="1" spans="1:12" s="208" customFormat="1" ht="32.25" customHeight="1" x14ac:dyDescent="0.25">
      <c r="A1" s="207"/>
      <c r="B1" s="207" t="str">
        <f>VLOOKUP(64,Lang!A1:D2628,Lang!L1+1,FALSE)</f>
        <v>B-GOV1 - Technické zabezpečení budovy před záplavami a přívalovými srážkami</v>
      </c>
      <c r="E1" s="297" t="str">
        <f>VLOOKUP(129,Lang!A1:D2628,Lang!L1+1,FALSE)</f>
        <v>Navigace</v>
      </c>
      <c r="F1" s="298"/>
    </row>
    <row r="2" spans="1:12" ht="28.5" customHeight="1" thickBot="1" x14ac:dyDescent="0.3">
      <c r="A2" s="102"/>
      <c r="B2" s="199" t="str">
        <f>VLOOKUP(130,Lang!A1:D2628,Lang!L1+1,FALSE)</f>
        <v>Metodický list indikátoru</v>
      </c>
      <c r="E2" s="100"/>
      <c r="F2" s="101"/>
    </row>
    <row r="4" spans="1:12" ht="15.75" thickBot="1" x14ac:dyDescent="0.3">
      <c r="B4" s="1" t="str">
        <f>VLOOKUP(113,Lang!A1:D2628,Lang!L1+1,FALSE)</f>
        <v>Výběr z více možností</v>
      </c>
    </row>
    <row r="5" spans="1:12" ht="16.5" thickTop="1" thickBot="1" x14ac:dyDescent="0.3">
      <c r="A5" s="41"/>
      <c r="B5" s="212" t="str">
        <f>VLOOKUP(115,Lang!A1:D2628,Lang!L1+1,FALSE)</f>
        <v>Parametr</v>
      </c>
      <c r="C5" s="173" t="str">
        <f>VLOOKUP(114,Lang!A1:D2628,Lang!L1+1,FALSE)</f>
        <v>Vyhovuje?</v>
      </c>
    </row>
    <row r="6" spans="1:12" s="139" customFormat="1" ht="16.5" customHeight="1" thickTop="1" thickBot="1" x14ac:dyDescent="0.3">
      <c r="A6" s="175">
        <v>1</v>
      </c>
      <c r="B6" s="68" t="str">
        <f>VLOOKUP(140,Lang!A1:D2628,Lang!L$1+1,FALSE)</f>
        <v xml:space="preserve">budova pravidelného půdorysu bez rizalitů a tvarování                                                                                                                                             </v>
      </c>
      <c r="C6" s="154"/>
      <c r="G6" s="176">
        <v>1</v>
      </c>
      <c r="H6" s="139">
        <f>IF(C6=VLOOKUP(74,Lang!A1:D2628,Lang!L1+1,FALSE),G6,0)</f>
        <v>0</v>
      </c>
      <c r="I6" s="139">
        <v>0</v>
      </c>
      <c r="J6" s="139">
        <v>3</v>
      </c>
      <c r="K6" s="139" t="str">
        <f>IF(H21&lt;=3,"X","")</f>
        <v>X</v>
      </c>
      <c r="L6" s="139" t="s">
        <v>2</v>
      </c>
    </row>
    <row r="7" spans="1:12" s="139" customFormat="1" ht="16.5" customHeight="1" thickTop="1" thickBot="1" x14ac:dyDescent="0.3">
      <c r="A7" s="175">
        <v>2</v>
      </c>
      <c r="B7" s="68" t="str">
        <f>VLOOKUP(141,Lang!A2:D2629,Lang!L$1+1,FALSE)</f>
        <v>hydroizolace na celé ploše střechy (ploché nebo skloněné)</v>
      </c>
      <c r="C7" s="154"/>
      <c r="G7" s="176">
        <v>1</v>
      </c>
      <c r="H7" s="139">
        <f>IF(C7=VLOOKUP(74,Lang!A1:D2628,Lang!L1+1,FALSE),G7,0)</f>
        <v>0</v>
      </c>
      <c r="I7" s="139">
        <v>4</v>
      </c>
      <c r="J7" s="139">
        <v>7</v>
      </c>
      <c r="K7" s="139" t="str">
        <f>IF(AND(H$21&gt;=I7,H$21&lt;=J7),"X","")</f>
        <v/>
      </c>
      <c r="L7" s="139" t="s">
        <v>3</v>
      </c>
    </row>
    <row r="8" spans="1:12" s="139" customFormat="1" ht="16.5" customHeight="1" thickTop="1" thickBot="1" x14ac:dyDescent="0.3">
      <c r="A8" s="175">
        <v>3</v>
      </c>
      <c r="B8" s="68" t="str">
        <f>VLOOKUP(142,Lang!A3:D2630,Lang!L$1+1,FALSE)</f>
        <v>hydroizolace střechy bez nedostatků</v>
      </c>
      <c r="C8" s="154"/>
      <c r="G8" s="176">
        <v>1</v>
      </c>
      <c r="H8" s="139">
        <f>IF(C8=VLOOKUP(74,Lang!A1:D2628,Lang!L1+1,FALSE),G8,0)</f>
        <v>0</v>
      </c>
      <c r="I8" s="139">
        <v>8</v>
      </c>
      <c r="J8" s="139">
        <v>11</v>
      </c>
      <c r="K8" s="139" t="str">
        <f>IF(AND(H$21&gt;=I8,H$21&lt;=J8),"X","")</f>
        <v/>
      </c>
      <c r="L8" s="139" t="s">
        <v>4</v>
      </c>
    </row>
    <row r="9" spans="1:12" s="139" customFormat="1" ht="16.5" customHeight="1" thickTop="1" thickBot="1" x14ac:dyDescent="0.3">
      <c r="A9" s="175">
        <v>4</v>
      </c>
      <c r="B9" s="68" t="str">
        <f>VLOOKUP(143,Lang!A4:D2631,Lang!L$1+1,FALSE)</f>
        <v>funkční a dostatečně kapacitní odvod srážkových vod z celé plochy střech</v>
      </c>
      <c r="C9" s="154"/>
      <c r="G9" s="176">
        <v>1</v>
      </c>
      <c r="H9" s="139">
        <f>IF(C9=VLOOKUP(74,Lang!A1:D2628,Lang!L1+1,FALSE),G9,0)</f>
        <v>0</v>
      </c>
      <c r="I9" s="139">
        <v>12</v>
      </c>
      <c r="J9" s="139">
        <v>15</v>
      </c>
      <c r="K9" s="139" t="str">
        <f>IF(AND(H$21&gt;=I9,H$21&lt;=J9),"X","")</f>
        <v/>
      </c>
      <c r="L9" s="139" t="s">
        <v>5</v>
      </c>
    </row>
    <row r="10" spans="1:12" s="139" customFormat="1" ht="16.5" customHeight="1" thickTop="1" thickBot="1" x14ac:dyDescent="0.3">
      <c r="A10" s="175">
        <v>5</v>
      </c>
      <c r="B10" s="68" t="str">
        <f>VLOOKUP(144,Lang!A5:D2632,Lang!L$1+1,FALSE)</f>
        <v>překrytí budovy či nádvoří další střechou s odvodem dešťové vody</v>
      </c>
      <c r="C10" s="154"/>
      <c r="G10" s="176">
        <v>1</v>
      </c>
      <c r="H10" s="139">
        <f>IF(C10=VLOOKUP(74,Lang!A1:D2628,Lang!L1+1,FALSE),G10,0)</f>
        <v>0</v>
      </c>
      <c r="I10" s="139">
        <v>16</v>
      </c>
      <c r="J10" s="139">
        <v>20</v>
      </c>
      <c r="K10" s="139" t="str">
        <f>IF(H21&gt;16,"X","")</f>
        <v/>
      </c>
      <c r="L10" s="139" t="s">
        <v>6</v>
      </c>
    </row>
    <row r="11" spans="1:12" s="139" customFormat="1" ht="16.5" customHeight="1" thickTop="1" thickBot="1" x14ac:dyDescent="0.3">
      <c r="A11" s="175">
        <v>6</v>
      </c>
      <c r="B11" s="68" t="str">
        <f>VLOOKUP(145,Lang!A6:D2633,Lang!L$1+1,FALSE)</f>
        <v>překrytí převažujícího počtu vstupů a vchodů střechou (včetně vchodů do sklepů a suterénních prostor)</v>
      </c>
      <c r="C11" s="154"/>
      <c r="G11" s="176">
        <v>1</v>
      </c>
      <c r="H11" s="139">
        <f>IF(C11=VLOOKUP(74,Lang!A1:D2628,Lang!L1+1,FALSE),G11,0)</f>
        <v>0</v>
      </c>
    </row>
    <row r="12" spans="1:12" s="139" customFormat="1" ht="16.5" customHeight="1" thickTop="1" thickBot="1" x14ac:dyDescent="0.3">
      <c r="A12" s="175">
        <v>7</v>
      </c>
      <c r="B12" s="68" t="str">
        <f>VLOOKUP(146,Lang!A7:D2634,Lang!L$1+1,FALSE)</f>
        <v>převažující podíl plochy stavebních otvorů (dveře, okna) nad úrovní terénu</v>
      </c>
      <c r="C12" s="154"/>
      <c r="G12" s="176">
        <v>1</v>
      </c>
      <c r="H12" s="139">
        <f>IF(C12=VLOOKUP(74,Lang!A1:D2628,Lang!L1+1,FALSE),G12,0)</f>
        <v>0</v>
      </c>
    </row>
    <row r="13" spans="1:12" s="139" customFormat="1" ht="16.5" customHeight="1" thickTop="1" thickBot="1" x14ac:dyDescent="0.3">
      <c r="A13" s="175">
        <v>8</v>
      </c>
      <c r="B13" s="68" t="str">
        <f>VLOOKUP(147,Lang!A8:D2635,Lang!L$1+1,FALSE)</f>
        <v>vodorovná hydroizolace základů v celém půdorysu</v>
      </c>
      <c r="C13" s="154"/>
      <c r="G13" s="176">
        <v>1</v>
      </c>
      <c r="H13" s="139">
        <f>IF(C13=VLOOKUP(74,Lang!A1:D2628,Lang!L1+1,FALSE),G13,0)</f>
        <v>0</v>
      </c>
    </row>
    <row r="14" spans="1:12" s="139" customFormat="1" ht="16.5" customHeight="1" thickTop="1" thickBot="1" x14ac:dyDescent="0.3">
      <c r="A14" s="175">
        <v>9</v>
      </c>
      <c r="B14" s="68" t="str">
        <f>VLOOKUP(148,Lang!A9:D2636,Lang!L$1+1,FALSE)</f>
        <v>svislá hydroizolace základů po celém obvodu</v>
      </c>
      <c r="C14" s="154"/>
      <c r="G14" s="176">
        <v>1</v>
      </c>
      <c r="H14" s="139">
        <f>IF(C14=VLOOKUP(74,Lang!A1:D2628,Lang!L1+1,FALSE),G14,0)</f>
        <v>0</v>
      </c>
    </row>
    <row r="15" spans="1:12" s="139" customFormat="1" ht="16.5" customHeight="1" thickTop="1" thickBot="1" x14ac:dyDescent="0.3">
      <c r="A15" s="175">
        <v>10</v>
      </c>
      <c r="B15" s="68" t="str">
        <f>VLOOKUP(149,Lang!A10:D2637,Lang!L$1+1,FALSE)</f>
        <v>zvláštní hydroizolační ochrana základů proti tlakové vodě</v>
      </c>
      <c r="C15" s="154"/>
      <c r="G15" s="176">
        <v>2</v>
      </c>
      <c r="H15" s="139">
        <f>IF(C15=VLOOKUP(74,Lang!A1:D2628,Lang!L1+1,FALSE),G15,0)</f>
        <v>0</v>
      </c>
    </row>
    <row r="16" spans="1:12" s="139" customFormat="1" ht="16.5" customHeight="1" thickTop="1" thickBot="1" x14ac:dyDescent="0.3">
      <c r="A16" s="175">
        <v>11</v>
      </c>
      <c r="B16" s="68" t="str">
        <f>VLOOKUP(150,Lang!A11:D2638,Lang!L$1+1,FALSE)</f>
        <v>okolní terén (pozemek) převážně svažitý směrem od domu</v>
      </c>
      <c r="C16" s="154"/>
      <c r="G16" s="176">
        <v>2</v>
      </c>
      <c r="H16" s="139">
        <f>IF(C16=VLOOKUP(74,Lang!A1:D2628,Lang!L1+1,FALSE),G16,0)</f>
        <v>0</v>
      </c>
    </row>
    <row r="17" spans="1:12" s="139" customFormat="1" ht="16.5" customHeight="1" thickTop="1" thickBot="1" x14ac:dyDescent="0.3">
      <c r="A17" s="175">
        <v>12</v>
      </c>
      <c r="B17" s="68" t="str">
        <f>VLOOKUP(151,Lang!A12:D2639,Lang!L$1+1,FALSE)</f>
        <v>převažující vyspádování chodníků a přiléhající zpevněné plochy min 2 % ve směru od budovy</v>
      </c>
      <c r="C17" s="154"/>
      <c r="G17" s="176">
        <v>1</v>
      </c>
      <c r="H17" s="139">
        <f>IF(C17=VLOOKUP(74,Lang!A1:D2628,Lang!L1+1,FALSE),G17,0)</f>
        <v>0</v>
      </c>
    </row>
    <row r="18" spans="1:12" s="139" customFormat="1" ht="16.5" customHeight="1" thickTop="1" thickBot="1" x14ac:dyDescent="0.3">
      <c r="A18" s="175">
        <v>13</v>
      </c>
      <c r="B18" s="68" t="str">
        <f>VLOOKUP(152,Lang!A13:D2640,Lang!L$1+1,FALSE)</f>
        <v>přiléhající okapové chodníky s odvodem vody na převažující části obvodu</v>
      </c>
      <c r="C18" s="154"/>
      <c r="G18" s="176">
        <v>1</v>
      </c>
      <c r="H18" s="139">
        <f>IF(C18=VLOOKUP(74,Lang!A1:D2628,Lang!L1+1,FALSE),G18,0)</f>
        <v>0</v>
      </c>
    </row>
    <row r="19" spans="1:12" s="139" customFormat="1" ht="16.5" customHeight="1" thickTop="1" thickBot="1" x14ac:dyDescent="0.3">
      <c r="A19" s="175">
        <v>14</v>
      </c>
      <c r="B19" s="68" t="str">
        <f>VLOOKUP(153,Lang!A14:D2641,Lang!L$1+1,FALSE)</f>
        <v>zabezpečené vchody do sklepů a suterénních prostor například navýšením terénu, aby se zamezilo přímému zatékání dostatečným odtokovým žlabem apod.</v>
      </c>
      <c r="C19" s="154"/>
      <c r="G19" s="176">
        <v>2</v>
      </c>
      <c r="H19" s="139">
        <f>IF(C19=VLOOKUP(74,Lang!A1:D2628,Lang!L1+1,FALSE),G19,0)</f>
        <v>0</v>
      </c>
    </row>
    <row r="20" spans="1:12" s="139" customFormat="1" ht="16.5" customHeight="1" thickTop="1" thickBot="1" x14ac:dyDescent="0.3">
      <c r="A20" s="175">
        <v>15</v>
      </c>
      <c r="B20" s="68" t="str">
        <f>VLOOKUP(154,Lang!A15:D2642,Lang!L$1+1,FALSE)</f>
        <v>pevné protipovodňové vrata a uzávěry</v>
      </c>
      <c r="C20" s="154"/>
      <c r="G20" s="176">
        <v>3</v>
      </c>
      <c r="H20" s="139">
        <f>IF(C20=VLOOKUP(74,Lang!A1:D2628,Lang!L1+1,FALSE),G20,0)</f>
        <v>0</v>
      </c>
    </row>
    <row r="21" spans="1:12" ht="16.5" thickTop="1" thickBot="1" x14ac:dyDescent="0.3">
      <c r="G21" s="42">
        <v>20</v>
      </c>
      <c r="H21">
        <f>SUM(H6:H20)</f>
        <v>0</v>
      </c>
    </row>
    <row r="22" spans="1:12" ht="15.75" thickTop="1" x14ac:dyDescent="0.25">
      <c r="B22" s="60" t="str">
        <f>IF(COUNTBLANK(C6:C20)&gt;0,CONCATENATE(VLOOKUP(155,Lang!A1:D2628,Lang!L1+1,FALSE),COUNTBLANK(C6:C20)," ",VLOOKUP(156,Lang!A1:D2628,Lang!L1+1,FALSE)),"")</f>
        <v>Některé parametry (15 celkem) nemáte vyplněné. Nezapomněli jste?</v>
      </c>
    </row>
    <row r="23" spans="1:12" ht="15.75" thickBot="1" x14ac:dyDescent="0.3"/>
    <row r="24" spans="1:12" ht="19.5" thickBot="1" x14ac:dyDescent="0.35">
      <c r="B24" s="72" t="str">
        <f>VLOOKUP(139,Lang!A1:D2628,Lang!L$1+1,FALSE)</f>
        <v>Hodnota indikátoru</v>
      </c>
      <c r="C24" s="70" t="str">
        <f>VLOOKUP("X",K6:L10,2,FALSE)</f>
        <v>5 (E)</v>
      </c>
      <c r="D24" s="70">
        <f>(H21)</f>
        <v>0</v>
      </c>
      <c r="H24" s="2" t="s">
        <v>2</v>
      </c>
      <c r="I24" s="3" t="s">
        <v>3</v>
      </c>
      <c r="J24" s="4" t="s">
        <v>4</v>
      </c>
      <c r="K24" s="5" t="s">
        <v>5</v>
      </c>
      <c r="L24" s="6" t="s">
        <v>6</v>
      </c>
    </row>
    <row r="25" spans="1:12" ht="15.75" thickBot="1" x14ac:dyDescent="0.3">
      <c r="H25" s="53" t="s">
        <v>26</v>
      </c>
      <c r="I25" s="54"/>
      <c r="J25" s="54"/>
      <c r="K25" s="54"/>
      <c r="L25" s="54" t="s">
        <v>27</v>
      </c>
    </row>
    <row r="26" spans="1:12" ht="15.75" thickBot="1" x14ac:dyDescent="0.3">
      <c r="B26" s="59"/>
    </row>
    <row r="27" spans="1:12" ht="19.5" customHeight="1" thickBot="1" x14ac:dyDescent="0.35">
      <c r="B27" s="230" t="str">
        <f>VLOOKUP(268,Lang!A$1:D$2628,Lang!L$1+1,FALSE)</f>
        <v>Hodnota pro vložení do Klimaskenu</v>
      </c>
      <c r="C27" s="231" t="str">
        <f>IF(B22="",D24,"")</f>
        <v/>
      </c>
      <c r="H27" s="174" t="s">
        <v>172</v>
      </c>
    </row>
    <row r="28" spans="1:12" x14ac:dyDescent="0.25">
      <c r="H28" s="59" t="s">
        <v>173</v>
      </c>
    </row>
    <row r="29" spans="1:12" x14ac:dyDescent="0.25">
      <c r="H29" s="59" t="s">
        <v>174</v>
      </c>
    </row>
  </sheetData>
  <sheetProtection sheet="1" objects="1" scenarios="1"/>
  <mergeCells count="1">
    <mergeCell ref="E1:F1"/>
  </mergeCells>
  <conditionalFormatting sqref="C27">
    <cfRule type="iconSet" priority="1">
      <iconSet iconSet="3Symbols2">
        <cfvo type="percent" val="0"/>
        <cfvo type="percent" val="33"/>
        <cfvo type="percent" val="67"/>
      </iconSet>
    </cfRule>
  </conditionalFormatting>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INDIRECT(CONCATENATE("ANONE",Lang!$L$1))</xm:f>
          </x14:formula1>
          <xm:sqref>C6:C20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0"/>
  <sheetViews>
    <sheetView showGridLines="0" workbookViewId="0">
      <selection activeCell="A11" sqref="A11"/>
    </sheetView>
  </sheetViews>
  <sheetFormatPr defaultColWidth="9.140625" defaultRowHeight="15" x14ac:dyDescent="0.25"/>
  <cols>
    <col min="1" max="1" width="5.5703125" bestFit="1" customWidth="1"/>
    <col min="2" max="2" width="78.28515625" style="45" customWidth="1"/>
    <col min="3" max="3" width="74.42578125" style="45" customWidth="1"/>
    <col min="4" max="4" width="22.42578125" style="159" customWidth="1"/>
    <col min="5" max="6" width="9.7109375" style="105" customWidth="1"/>
    <col min="7" max="7" width="20.85546875" style="105" customWidth="1"/>
    <col min="8" max="8" width="12.7109375" hidden="1" customWidth="1"/>
    <col min="9" max="9" width="23.85546875" hidden="1" customWidth="1"/>
    <col min="10" max="10" width="18.5703125" hidden="1" customWidth="1"/>
    <col min="11" max="12" width="9.140625" customWidth="1"/>
    <col min="13" max="16" width="9.140625" hidden="1" customWidth="1"/>
    <col min="17" max="17" width="19" hidden="1" customWidth="1"/>
    <col min="18" max="22" width="9.140625" hidden="1" customWidth="1"/>
    <col min="23" max="23" width="9.140625" customWidth="1"/>
  </cols>
  <sheetData>
    <row r="1" spans="1:22" s="208" customFormat="1" ht="32.25" customHeight="1" x14ac:dyDescent="0.25">
      <c r="A1" s="207"/>
      <c r="B1" s="207" t="str">
        <f>VLOOKUP(65,Lang!A1:D2628,Lang!L1+1,FALSE)</f>
        <v>B-GOV2 - Zadržování srážkové vody v okolí budovy</v>
      </c>
      <c r="E1" s="297" t="str">
        <f>VLOOKUP(129,Lang!A1:D2628,Lang!L1+1,FALSE)</f>
        <v>Navigace</v>
      </c>
      <c r="F1" s="298"/>
    </row>
    <row r="2" spans="1:22" ht="28.5" customHeight="1" thickBot="1" x14ac:dyDescent="0.3">
      <c r="A2" s="102"/>
      <c r="B2" s="199" t="str">
        <f>VLOOKUP(130,Lang!A1:D2628,Lang!L1+1,FALSE)</f>
        <v>Metodický list indikátoru</v>
      </c>
      <c r="E2" s="100"/>
      <c r="F2" s="101"/>
    </row>
    <row r="3" spans="1:22" x14ac:dyDescent="0.25">
      <c r="A3" s="1"/>
      <c r="E3"/>
      <c r="F3"/>
    </row>
    <row r="4" spans="1:22" ht="15.75" thickBot="1" x14ac:dyDescent="0.3">
      <c r="E4"/>
      <c r="F4"/>
    </row>
    <row r="5" spans="1:22" ht="50.25" customHeight="1" thickTop="1" thickBot="1" x14ac:dyDescent="0.3">
      <c r="D5" s="74" t="str">
        <f>VLOOKUP(198,Lang!A1:D2628,Lang!L1+1,FALSE)</f>
        <v>Výměra</v>
      </c>
      <c r="E5" s="103"/>
      <c r="F5" s="103"/>
      <c r="G5" s="103"/>
      <c r="H5" s="305" t="s">
        <v>41</v>
      </c>
      <c r="J5" s="46" t="s">
        <v>43</v>
      </c>
    </row>
    <row r="6" spans="1:22" ht="18" thickBot="1" x14ac:dyDescent="0.3">
      <c r="A6" s="76" t="str">
        <f>VLOOKUP(195,Lang!A1:D2628,Lang!L1+1,FALSE)</f>
        <v>Kód</v>
      </c>
      <c r="B6" s="76" t="str">
        <f>VLOOKUP(196,Lang!A1:D2628,Lang!L1+1,FALSE)</f>
        <v>Popis povrchu/objektu</v>
      </c>
      <c r="C6" s="76" t="str">
        <f>VLOOKUP(197,Lang!A1:D2628,Lang!L1+1,FALSE)</f>
        <v>Definice</v>
      </c>
      <c r="D6" s="75" t="s">
        <v>42</v>
      </c>
      <c r="E6" s="103"/>
      <c r="F6" s="103"/>
      <c r="G6" s="103"/>
      <c r="H6" s="306"/>
      <c r="J6" s="40" t="s">
        <v>44</v>
      </c>
      <c r="O6">
        <v>0</v>
      </c>
      <c r="P6">
        <v>0.2</v>
      </c>
      <c r="Q6" t="str">
        <f>IF(AND($J$22&gt;=O6,$J$22&lt;P6),"X","")</f>
        <v/>
      </c>
      <c r="R6" s="2" t="s">
        <v>2</v>
      </c>
      <c r="S6" s="15" t="s">
        <v>47</v>
      </c>
    </row>
    <row r="7" spans="1:22" ht="45" customHeight="1" thickTop="1" thickBot="1" x14ac:dyDescent="0.3">
      <c r="A7" s="178" t="s">
        <v>28</v>
      </c>
      <c r="B7" s="141" t="str">
        <f>VLOOKUP(199,Lang!A$1:I$2628,Lang!$L$1+1,FALSE)</f>
        <v>nepropustné zpevněné plochy</v>
      </c>
      <c r="C7" s="141" t="str">
        <f>VLOOKUP(212,Lang!A$1:I$2628,Lang!$L$1+1,FALSE)</f>
        <v>plochy bez rostlinného krytu a možnosti vsakování srážkové vody</v>
      </c>
      <c r="D7" s="172"/>
      <c r="E7" s="104"/>
      <c r="F7" s="104"/>
      <c r="G7" s="104"/>
      <c r="H7" s="47">
        <v>0</v>
      </c>
      <c r="J7" s="47">
        <f t="shared" ref="J7:J19" si="0">+H7*D7</f>
        <v>0</v>
      </c>
      <c r="O7">
        <v>0.20000999999999999</v>
      </c>
      <c r="P7">
        <v>0.3</v>
      </c>
      <c r="Q7" t="str">
        <f>IF(AND($J$22&gt;O7,$J$22&lt;=P7),"X","")</f>
        <v/>
      </c>
      <c r="R7" s="3" t="s">
        <v>3</v>
      </c>
      <c r="S7" s="7" t="s">
        <v>48</v>
      </c>
      <c r="T7" s="45"/>
    </row>
    <row r="8" spans="1:22" ht="45" customHeight="1" thickTop="1" thickBot="1" x14ac:dyDescent="0.3">
      <c r="A8" s="178" t="s">
        <v>29</v>
      </c>
      <c r="B8" s="141" t="str">
        <f>VLOOKUP(200,Lang!A$1:I$2628,Lang!L$1+1,FALSE)</f>
        <v>zpevněná plocha s dlažbou,  mlatová plocha</v>
      </c>
      <c r="C8" s="141" t="str">
        <f>VLOOKUP(213,Lang!A$1:I$2628,Lang!$L$1+1,FALSE)</f>
        <v>dlažba na štěrkovém lůžku se spárou menší než 15 mm, mlatové plochy s propustností menší než 10 mm/hod</v>
      </c>
      <c r="D8" s="172"/>
      <c r="E8" s="104"/>
      <c r="F8" s="104"/>
      <c r="G8" s="104"/>
      <c r="H8" s="48">
        <v>0.2</v>
      </c>
      <c r="J8" s="47">
        <f t="shared" si="0"/>
        <v>0</v>
      </c>
      <c r="O8">
        <v>0.30009999999999998</v>
      </c>
      <c r="P8">
        <v>0.6</v>
      </c>
      <c r="Q8" t="str">
        <f>IF(AND($J$22&gt;O8,$J$22&lt;=P8),"X","")</f>
        <v/>
      </c>
      <c r="R8" s="4" t="s">
        <v>4</v>
      </c>
      <c r="S8" s="7" t="s">
        <v>49</v>
      </c>
      <c r="T8" s="45"/>
    </row>
    <row r="9" spans="1:22" ht="31.5" thickTop="1" thickBot="1" x14ac:dyDescent="0.3">
      <c r="A9" s="178" t="s">
        <v>30</v>
      </c>
      <c r="B9" s="141" t="str">
        <f>VLOOKUP(201,Lang!A$1:I$2628,Lang!L$1+1,FALSE)</f>
        <v>zpevněná plocha s propustným krytem, nezpevněné plochy bez rostlinného krytu</v>
      </c>
      <c r="C9" s="141" t="str">
        <f>VLOOKUP(214,Lang!A$1:I$2628,Lang!$L$1+1,FALSE)</f>
        <v>propustné zpevněné povrchy a dlažby s propustnou spárou nad 15 mm, plocha se štěrkovým a pískovým povrchem s propustností nad 10 mm/hod</v>
      </c>
      <c r="D9" s="172"/>
      <c r="E9" s="104"/>
      <c r="F9" s="104"/>
      <c r="G9" s="104"/>
      <c r="H9" s="48">
        <v>0.4</v>
      </c>
      <c r="J9" s="47">
        <f t="shared" si="0"/>
        <v>0</v>
      </c>
      <c r="O9">
        <v>0.60001000000000004</v>
      </c>
      <c r="P9">
        <v>0.8</v>
      </c>
      <c r="Q9" t="str">
        <f>IF(AND($J$22&gt;O9,$J$22&lt;=P9),"X","")</f>
        <v/>
      </c>
      <c r="R9" s="5" t="s">
        <v>5</v>
      </c>
      <c r="S9" s="7" t="s">
        <v>50</v>
      </c>
    </row>
    <row r="10" spans="1:22" ht="31.5" thickTop="1" thickBot="1" x14ac:dyDescent="0.3">
      <c r="A10" s="178" t="s">
        <v>31</v>
      </c>
      <c r="B10" s="141" t="str">
        <f>VLOOKUP(202,Lang!A$1:I$2628,Lang!L$1+1,FALSE)</f>
        <v>malá plocha se souvislým rostlinným krytem a možností vsakování do hlubších vrstev, silně zhutněná</v>
      </c>
      <c r="C10" s="141" t="str">
        <f>VLOOKUP(215,Lang!A$1:I$2628,Lang!$L$1+1,FALSE)</f>
        <v>plochy do 10 m² a zelené pásy, šířka menší než 3,5 m bez možnosti přítoku srážkové vody z okolních ploch, plochy silně zhutněné</v>
      </c>
      <c r="D10" s="172"/>
      <c r="E10" s="104"/>
      <c r="F10" s="104"/>
      <c r="G10" s="104"/>
      <c r="H10" s="48">
        <v>0.4</v>
      </c>
      <c r="J10" s="47">
        <f t="shared" si="0"/>
        <v>0</v>
      </c>
      <c r="O10">
        <v>0.80001</v>
      </c>
      <c r="P10">
        <v>1</v>
      </c>
      <c r="Q10" t="str">
        <f>IF(AND($J$22&gt;O10,$J$22&lt;=P10),"X","")</f>
        <v/>
      </c>
      <c r="R10" s="6" t="s">
        <v>6</v>
      </c>
      <c r="S10" s="7" t="s">
        <v>51</v>
      </c>
    </row>
    <row r="11" spans="1:22" ht="31.5" thickTop="1" thickBot="1" x14ac:dyDescent="0.3">
      <c r="A11" s="178" t="s">
        <v>32</v>
      </c>
      <c r="B11" s="141" t="str">
        <f>VLOOKUP(203,Lang!A$1:I$2628,Lang!L$1+1,FALSE)</f>
        <v>zatravněná plocha s intenzivní údržbou s možností volného vsakování do hlubších vrstev</v>
      </c>
      <c r="C11" s="141" t="str">
        <f>VLOOKUP(216,Lang!A$1:I$2628,Lang!$L$1+1,FALSE)</f>
        <v>zatravněné intenzivně kosené plochy (více než 3 kosení za rok) přesahující rozměry 10 m²</v>
      </c>
      <c r="D11" s="172"/>
      <c r="E11" s="104"/>
      <c r="F11" s="104"/>
      <c r="G11" s="104"/>
      <c r="H11" s="48">
        <v>0.7</v>
      </c>
      <c r="J11" s="47">
        <f t="shared" si="0"/>
        <v>0</v>
      </c>
    </row>
    <row r="12" spans="1:22" ht="31.5" thickTop="1" thickBot="1" x14ac:dyDescent="0.3">
      <c r="A12" s="178" t="s">
        <v>33</v>
      </c>
      <c r="B12" s="141" t="str">
        <f>VLOOKUP(204,Lang!A$1:I$2628,Lang!L$1+1,FALSE)</f>
        <v>extenzivně udržovaná travnatá plocha, plocha se smíšeným vegetačním krytem bylinného a dřevního patra</v>
      </c>
      <c r="C12" s="141" t="str">
        <f>VLOOKUP(217,Lang!A$1:I$2628,Lang!$L$1+1,FALSE)</f>
        <v>vegetační plochy se zvýšenou hodnotou biologické rozmanitosti nebo schopností infiltrace</v>
      </c>
      <c r="D12" s="172"/>
      <c r="E12" s="104"/>
      <c r="F12" s="104"/>
      <c r="G12" s="104"/>
      <c r="H12" s="48">
        <v>1</v>
      </c>
      <c r="J12" s="47">
        <f t="shared" si="0"/>
        <v>0</v>
      </c>
      <c r="R12" s="2" t="s">
        <v>2</v>
      </c>
      <c r="S12" s="3" t="s">
        <v>3</v>
      </c>
      <c r="T12" s="4" t="s">
        <v>4</v>
      </c>
      <c r="U12" s="5" t="s">
        <v>5</v>
      </c>
      <c r="V12" s="6" t="s">
        <v>6</v>
      </c>
    </row>
    <row r="13" spans="1:22" ht="46.5" thickTop="1" thickBot="1" x14ac:dyDescent="0.3">
      <c r="A13" s="178" t="s">
        <v>34</v>
      </c>
      <c r="B13" s="141" t="str">
        <f>VLOOKUP(205,Lang!A$1:I$2628,Lang!L$1+1,FALSE)</f>
        <v>mohutné stromy - smíšené (jehličnaté a listnaté), existující zapojený porost stromů</v>
      </c>
      <c r="C13" s="141" t="str">
        <f>VLOOKUP(218,Lang!A$1:I$2628,Lang!$L$1+1,FALSE)</f>
        <v xml:space="preserve">mohutné stromy zachytí 80 % srážek, více efektivní v zachytávání srážek jsou jehličnaté stromy, protože listnaté stromy v bezlistém stavu zachytí jen 10 až 30 % (Xiao, McPherson, 2002 Calder et al. 2008 [1]) </v>
      </c>
      <c r="D13" s="172"/>
      <c r="E13" s="104"/>
      <c r="F13" s="104"/>
      <c r="G13" s="104"/>
      <c r="H13" s="48">
        <v>1</v>
      </c>
      <c r="J13" s="47">
        <f t="shared" si="0"/>
        <v>0</v>
      </c>
      <c r="R13" s="15" t="s">
        <v>47</v>
      </c>
      <c r="S13" s="7" t="s">
        <v>48</v>
      </c>
      <c r="T13" s="7" t="s">
        <v>49</v>
      </c>
      <c r="U13" s="7" t="s">
        <v>50</v>
      </c>
      <c r="V13" s="7" t="s">
        <v>51</v>
      </c>
    </row>
    <row r="14" spans="1:22" ht="46.5" thickTop="1" thickBot="1" x14ac:dyDescent="0.3">
      <c r="A14" s="178" t="s">
        <v>35</v>
      </c>
      <c r="B14" s="141" t="str">
        <f>VLOOKUP(206,Lang!A$1:I$2628,Lang!L$1+1,FALSE)</f>
        <v>vzrůstově menší, většinou listnaté stromy</v>
      </c>
      <c r="C14" s="141" t="str">
        <f>VLOOKUP(219,Lang!A$1:I$2628,Lang!$L$1+1,FALSE)</f>
        <v>Malé stromky zachytí pouze 15 %, více efektivní v zachytávání srážek jsou jehličnaté stromy, protože listnaté stromy v bezlistém     stavu zachytí jen 10 až 30 % (Xiao, McPherson, 2002 Calder et al. 2008 [2])</v>
      </c>
      <c r="D14" s="172"/>
      <c r="E14" s="104"/>
      <c r="F14" s="104"/>
      <c r="G14" s="104"/>
      <c r="H14" s="48">
        <v>0.4</v>
      </c>
      <c r="J14" s="47">
        <f t="shared" si="0"/>
        <v>0</v>
      </c>
    </row>
    <row r="15" spans="1:22" ht="16.5" thickTop="1" thickBot="1" x14ac:dyDescent="0.3">
      <c r="A15" s="178" t="s">
        <v>36</v>
      </c>
      <c r="B15" s="141" t="str">
        <f>VLOOKUP(207,Lang!A$1:I$2628,Lang!L$1+1,FALSE)</f>
        <v>plochy keřů výšky nad 1 m</v>
      </c>
      <c r="C15" s="141" t="str">
        <f>VLOOKUP(220,Lang!A$1:I$2628,Lang!$L$1+1,FALSE)</f>
        <v>---</v>
      </c>
      <c r="D15" s="172"/>
      <c r="E15" s="104"/>
      <c r="F15" s="104"/>
      <c r="G15" s="104"/>
      <c r="H15" s="48">
        <v>0.4</v>
      </c>
      <c r="J15" s="47">
        <f t="shared" si="0"/>
        <v>0</v>
      </c>
    </row>
    <row r="16" spans="1:22" ht="31.5" thickTop="1" thickBot="1" x14ac:dyDescent="0.3">
      <c r="A16" s="178" t="s">
        <v>37</v>
      </c>
      <c r="B16" s="141" t="str">
        <f>VLOOKUP(208,Lang!A$1:I$2628,Lang!L$1+1,FALSE)</f>
        <v>podzemní překořenitelný prostor pro stromy</v>
      </c>
      <c r="C16" s="141" t="str">
        <f>VLOOKUP(221,Lang!A$1:I$2628,Lang!$L$1+1,FALSE)</f>
        <v>kořenové buňky, strukturní substrát, kořenové mosty a cesty s optimalizací vodního režimu</v>
      </c>
      <c r="D16" s="172"/>
      <c r="E16" s="104"/>
      <c r="F16" s="104"/>
      <c r="G16" s="104"/>
      <c r="H16" s="48">
        <v>0.6</v>
      </c>
      <c r="J16" s="47">
        <f t="shared" si="0"/>
        <v>0</v>
      </c>
    </row>
    <row r="17" spans="1:10" ht="90" customHeight="1" thickTop="1" thickBot="1" x14ac:dyDescent="0.3">
      <c r="A17" s="178" t="s">
        <v>38</v>
      </c>
      <c r="B17" s="141" t="str">
        <f>VLOOKUP(209,Lang!A$1:I$2628,Lang!L$1+1,FALSE)</f>
        <v>plochy, u nichž byla provedena úprava na podporu vsaku srážkové vody</v>
      </c>
      <c r="C17" s="141" t="str">
        <f>VLOOKUP(222,Lang!A$1:I$2628,Lang!$L$1+1,FALSE)</f>
        <v>plochy ve tvaru písmene H, jejichž topografie a míra zhutnění byla upravena pro možnost vsakování vody z okolních ploch, ostatní plochy, na kterých bylo technickým nebo technologickým opatřením podpořeno vsakování srážkové vody</v>
      </c>
      <c r="D17" s="172"/>
      <c r="E17" s="104"/>
      <c r="F17" s="104"/>
      <c r="G17" s="104"/>
      <c r="H17" s="48">
        <v>0.4</v>
      </c>
      <c r="J17" s="47">
        <f t="shared" si="0"/>
        <v>0</v>
      </c>
    </row>
    <row r="18" spans="1:10" ht="16.5" thickTop="1" thickBot="1" x14ac:dyDescent="0.3">
      <c r="A18" s="178" t="s">
        <v>39</v>
      </c>
      <c r="B18" s="141" t="str">
        <f>VLOOKUP(210,Lang!A$1:I$2628,Lang!L$1+1,FALSE)</f>
        <v>objekty HDV regulující odtok vody</v>
      </c>
      <c r="C18" s="141" t="str">
        <f>VLOOKUP(223,Lang!A$1:I$2628,Lang!$L$1+1,FALSE)</f>
        <v>vsakovací prohlubně (swales) a rýhy s regulovaným odtokem</v>
      </c>
      <c r="D18" s="172"/>
      <c r="E18" s="104"/>
      <c r="F18" s="104"/>
      <c r="G18" s="104"/>
      <c r="H18" s="48">
        <v>0.8</v>
      </c>
      <c r="J18" s="47">
        <f t="shared" si="0"/>
        <v>0</v>
      </c>
    </row>
    <row r="19" spans="1:10" ht="16.5" thickTop="1" thickBot="1" x14ac:dyDescent="0.3">
      <c r="A19" s="178" t="s">
        <v>40</v>
      </c>
      <c r="B19" s="141" t="str">
        <f>VLOOKUP(211,Lang!A$1:I$2628,Lang!L$1+1,FALSE)</f>
        <v>plošné objekty HDV umožňující vsak vody</v>
      </c>
      <c r="C19" s="141" t="str">
        <f>VLOOKUP(224,Lang!A$1:I$2628,Lang!$L$1+1,FALSE)</f>
        <v>vsakovací prohlubně (swales) a rýhy s bezpečnostním přepadem</v>
      </c>
      <c r="D19" s="172"/>
      <c r="E19" s="104"/>
      <c r="F19" s="104"/>
      <c r="G19" s="104"/>
      <c r="H19" s="48">
        <v>1</v>
      </c>
      <c r="J19" s="47">
        <f t="shared" si="0"/>
        <v>0</v>
      </c>
    </row>
    <row r="20" spans="1:10" ht="17.25" thickTop="1" thickBot="1" x14ac:dyDescent="0.3">
      <c r="A20" s="179"/>
      <c r="B20" s="180"/>
      <c r="C20" s="180"/>
      <c r="D20" s="181"/>
      <c r="H20" s="49"/>
      <c r="I20" s="50">
        <f>SUM(D7:D19)</f>
        <v>0</v>
      </c>
      <c r="J20" s="50">
        <f>SUM(J7:J19)</f>
        <v>0</v>
      </c>
    </row>
    <row r="21" spans="1:10" ht="17.25" thickTop="1" thickBot="1" x14ac:dyDescent="0.3">
      <c r="A21" s="182"/>
      <c r="B21" s="180"/>
      <c r="C21" s="180"/>
      <c r="D21" s="181"/>
      <c r="H21" s="49"/>
      <c r="I21" s="39" t="s">
        <v>45</v>
      </c>
      <c r="J21" s="39" t="s">
        <v>46</v>
      </c>
    </row>
    <row r="22" spans="1:10" ht="15.75" thickTop="1" x14ac:dyDescent="0.25">
      <c r="A22" s="182"/>
      <c r="B22" s="180"/>
      <c r="C22" s="180"/>
      <c r="D22" s="181"/>
      <c r="I22" t="s">
        <v>67</v>
      </c>
      <c r="J22" s="1" t="str">
        <f>IF(I20=0,"neúplné vstupy",J20/I20)</f>
        <v>neúplné vstupy</v>
      </c>
    </row>
    <row r="23" spans="1:10" x14ac:dyDescent="0.25">
      <c r="A23" s="182"/>
      <c r="B23" s="180"/>
      <c r="C23" s="180"/>
      <c r="D23" s="181"/>
      <c r="J23" s="1"/>
    </row>
    <row r="24" spans="1:10" x14ac:dyDescent="0.25">
      <c r="A24" s="44"/>
      <c r="J24" s="1"/>
    </row>
    <row r="25" spans="1:10" x14ac:dyDescent="0.25">
      <c r="E25" s="106"/>
      <c r="F25" s="106"/>
    </row>
    <row r="26" spans="1:10" ht="18.75" x14ac:dyDescent="0.3">
      <c r="B26" s="73" t="str">
        <f>VLOOKUP(139,Lang!A1:D2628,Lang!L$1+1,FALSE)</f>
        <v>Hodnota indikátoru</v>
      </c>
      <c r="C26" s="163" t="str">
        <f>IF(I20=0,VLOOKUP(41,Lang!A1:D2628,Lang!L$1+1,FALSE),VLOOKUP("X",Q6:S10,2,FALSE))</f>
        <v>neúplné vstupy</v>
      </c>
      <c r="D26" s="163" t="str">
        <f>IF(I20=0,VLOOKUP(41,Lang!A1:D2628,Lang!L$1+1,FALSE),J22)</f>
        <v>neúplné vstupy</v>
      </c>
      <c r="E26" s="107"/>
      <c r="F26" s="107"/>
      <c r="G26" s="107"/>
    </row>
    <row r="27" spans="1:10" x14ac:dyDescent="0.25">
      <c r="E27" s="106"/>
      <c r="F27" s="106"/>
    </row>
    <row r="29" spans="1:10" ht="15.75" thickBot="1" x14ac:dyDescent="0.3"/>
    <row r="30" spans="1:10" ht="18" thickBot="1" x14ac:dyDescent="0.35">
      <c r="B30" s="230" t="str">
        <f>VLOOKUP(268,Lang!A$1:D$2628,Lang!L$1+1,FALSE)</f>
        <v>Hodnota pro vložení do Klimaskenu</v>
      </c>
      <c r="C30" s="239" t="str">
        <f>IF(ISNUMBER(D26),D26,"")</f>
        <v/>
      </c>
    </row>
  </sheetData>
  <sheetProtection sheet="1" objects="1" scenarios="1"/>
  <mergeCells count="2">
    <mergeCell ref="H5:H6"/>
    <mergeCell ref="E1:F1"/>
  </mergeCells>
  <conditionalFormatting sqref="C30">
    <cfRule type="iconSet" priority="1">
      <iconSet iconSet="3Symbols2">
        <cfvo type="percent" val="0"/>
        <cfvo type="percent" val="33"/>
        <cfvo type="percent" val="67"/>
      </iconSet>
    </cfRule>
  </conditionalFormatting>
  <pageMargins left="0.7" right="0.7" top="0.78740157499999996" bottom="0.78740157499999996"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22"/>
  <sheetViews>
    <sheetView showGridLines="0" workbookViewId="0">
      <selection activeCell="D6" sqref="D6"/>
    </sheetView>
  </sheetViews>
  <sheetFormatPr defaultRowHeight="15" x14ac:dyDescent="0.25"/>
  <cols>
    <col min="1" max="1" width="5.5703125" style="159" bestFit="1" customWidth="1"/>
    <col min="2" max="2" width="64.5703125" style="45" customWidth="1"/>
    <col min="3" max="3" width="65.140625" style="45" customWidth="1"/>
    <col min="4" max="4" width="21.42578125" style="159" customWidth="1"/>
    <col min="5" max="6" width="9.28515625" style="105" customWidth="1"/>
    <col min="7" max="7" width="22.85546875" style="105" hidden="1" customWidth="1"/>
    <col min="8" max="8" width="8.28515625" hidden="1" customWidth="1"/>
    <col min="9" max="9" width="15.7109375" hidden="1" customWidth="1"/>
    <col min="10" max="10" width="17.7109375" style="159" hidden="1" customWidth="1"/>
    <col min="11" max="11" width="12.85546875" hidden="1" customWidth="1"/>
    <col min="12" max="29" width="9.140625" hidden="1" customWidth="1"/>
  </cols>
  <sheetData>
    <row r="1" spans="1:20" s="208" customFormat="1" ht="32.25" customHeight="1" x14ac:dyDescent="0.25">
      <c r="A1" s="207"/>
      <c r="B1" s="207" t="str">
        <f>VLOOKUP(66,Lang!A1:D2628,Lang!L1+1,FALSE)</f>
        <v>B-GOV3 - Zachytávání srážkové vody na budově</v>
      </c>
      <c r="E1" s="297" t="str">
        <f>VLOOKUP(129,Lang!A1:D2628,Lang!L1+1,FALSE)</f>
        <v>Navigace</v>
      </c>
      <c r="F1" s="298"/>
    </row>
    <row r="2" spans="1:20" ht="28.5" customHeight="1" thickBot="1" x14ac:dyDescent="0.3">
      <c r="A2" s="184"/>
      <c r="B2" s="199" t="str">
        <f>VLOOKUP(130,Lang!A1:D2628,Lang!L1+1,FALSE)</f>
        <v>Metodický list indikátoru</v>
      </c>
      <c r="E2" s="100"/>
      <c r="F2" s="101"/>
    </row>
    <row r="3" spans="1:20" ht="15.75" hidden="1" thickBot="1" x14ac:dyDescent="0.3">
      <c r="E3" s="111"/>
      <c r="F3" s="111"/>
    </row>
    <row r="4" spans="1:20" ht="31.5" thickTop="1" thickBot="1" x14ac:dyDescent="0.3">
      <c r="D4" s="74" t="str">
        <f>VLOOKUP(198,Lang!A1:D2628,Lang!L1+1,FALSE)</f>
        <v>Výměra</v>
      </c>
      <c r="E4" s="103"/>
      <c r="F4" s="103"/>
      <c r="G4" s="103"/>
      <c r="H4" s="305" t="s">
        <v>175</v>
      </c>
      <c r="I4" s="307" t="s">
        <v>176</v>
      </c>
      <c r="K4" s="46" t="s">
        <v>182</v>
      </c>
      <c r="P4">
        <v>0</v>
      </c>
      <c r="Q4">
        <v>0</v>
      </c>
      <c r="R4" t="str">
        <f>IF(AND($K$15=0),"X","")</f>
        <v/>
      </c>
      <c r="S4" s="2" t="s">
        <v>2</v>
      </c>
      <c r="T4" s="15"/>
    </row>
    <row r="5" spans="1:20" ht="18" thickBot="1" x14ac:dyDescent="0.3">
      <c r="A5" s="76" t="str">
        <f>VLOOKUP(195,Lang!A1:I2628,Lang!L1+1,FALSE)</f>
        <v>Kód</v>
      </c>
      <c r="B5" s="76" t="str">
        <f>VLOOKUP(196,Lang!A1:I2628,Lang!L1+1,FALSE)</f>
        <v>Popis povrchu/objektu</v>
      </c>
      <c r="C5" s="76" t="str">
        <f>VLOOKUP(197,Lang!A1:D2628,Lang!L1+1,FALSE)</f>
        <v>Definice</v>
      </c>
      <c r="D5" s="75" t="s">
        <v>59</v>
      </c>
      <c r="E5" s="103"/>
      <c r="F5" s="103"/>
      <c r="G5" s="103"/>
      <c r="H5" s="306"/>
      <c r="I5" s="308"/>
      <c r="K5" s="40" t="s">
        <v>44</v>
      </c>
      <c r="P5">
        <v>0</v>
      </c>
      <c r="Q5">
        <v>0.1</v>
      </c>
      <c r="R5" t="str">
        <f>IF(AND($K$15&gt;P5,$K$15&lt;=Q5),"X","")</f>
        <v/>
      </c>
      <c r="S5" s="3" t="s">
        <v>3</v>
      </c>
      <c r="T5" s="7"/>
    </row>
    <row r="6" spans="1:20" s="45" customFormat="1" ht="16.5" thickTop="1" thickBot="1" x14ac:dyDescent="0.3">
      <c r="A6" s="185" t="s">
        <v>52</v>
      </c>
      <c r="B6" s="68" t="str">
        <f>VLOOKUP(225,Lang!A1:I2628,Lang!L1+1,FALSE)</f>
        <v>povrch střechy a fasády bez úprav</v>
      </c>
      <c r="C6" s="68" t="str">
        <f>VLOOKUP(232,Lang!A1:I2628,Lang!L1+1,FALSE)</f>
        <v>povrchy střech a fasád bez vegetačního pokrytí a zásypů</v>
      </c>
      <c r="D6" s="154"/>
      <c r="E6" s="104"/>
      <c r="F6" s="104"/>
      <c r="G6" s="104"/>
      <c r="H6" s="37" t="s">
        <v>52</v>
      </c>
      <c r="I6" s="47">
        <v>0</v>
      </c>
      <c r="J6" s="160"/>
      <c r="K6" s="47">
        <f t="shared" ref="K6:K12" si="0">+I6*D6</f>
        <v>0</v>
      </c>
      <c r="P6" s="45">
        <v>0.1</v>
      </c>
      <c r="Q6" s="45">
        <v>0.3</v>
      </c>
      <c r="R6" s="45" t="str">
        <f>IF(AND($K$15&gt;P6,$K$15&lt;=Q6),"X","")</f>
        <v/>
      </c>
      <c r="S6" s="4" t="s">
        <v>4</v>
      </c>
      <c r="T6" s="7"/>
    </row>
    <row r="7" spans="1:20" s="45" customFormat="1" ht="16.5" thickTop="1" thickBot="1" x14ac:dyDescent="0.3">
      <c r="A7" s="185" t="s">
        <v>53</v>
      </c>
      <c r="B7" s="68" t="str">
        <f>VLOOKUP(226,Lang!A1:I2628,Lang!L1+1,FALSE)</f>
        <v>zelená stěna, popínavé rostliny</v>
      </c>
      <c r="C7" s="68" t="str">
        <f>VLOOKUP(233,Lang!A1:I2628,Lang!L1+1,FALSE)</f>
        <v>popínavé rostliny na fasádách a konstrukcích</v>
      </c>
      <c r="D7" s="154"/>
      <c r="E7" s="104"/>
      <c r="F7" s="104"/>
      <c r="G7" s="104"/>
      <c r="H7" s="206" t="s">
        <v>53</v>
      </c>
      <c r="I7" s="48">
        <v>0.6</v>
      </c>
      <c r="J7" s="160"/>
      <c r="K7" s="48">
        <f t="shared" si="0"/>
        <v>0</v>
      </c>
      <c r="P7" s="45">
        <v>0.3</v>
      </c>
      <c r="Q7" s="45">
        <v>0.5</v>
      </c>
      <c r="R7" s="45" t="str">
        <f>IF(AND($K$15&gt;P7,$K$15&lt;=Q7),"X","")</f>
        <v/>
      </c>
      <c r="S7" s="5" t="s">
        <v>5</v>
      </c>
      <c r="T7" s="7"/>
    </row>
    <row r="8" spans="1:20" s="45" customFormat="1" ht="31.5" thickTop="1" thickBot="1" x14ac:dyDescent="0.3">
      <c r="A8" s="185" t="s">
        <v>54</v>
      </c>
      <c r="B8" s="68" t="str">
        <f>VLOOKUP(227,Lang!A1:I2628,Lang!L1+1,FALSE)</f>
        <v>extenzivní střešní zahrady - plochá střecha</v>
      </c>
      <c r="C8" s="68" t="str">
        <f>VLOOKUP(234,Lang!A1:I2628,Lang!L1+1,FALSE)</f>
        <v>střešní zahrady a zeleň na podzemních konstrukcích s výškou vegetačního substrátu do 200 mm</v>
      </c>
      <c r="D8" s="154"/>
      <c r="E8" s="104"/>
      <c r="F8" s="104"/>
      <c r="G8" s="104"/>
      <c r="H8" s="37" t="s">
        <v>54</v>
      </c>
      <c r="I8" s="47">
        <v>0.6</v>
      </c>
      <c r="J8" s="160"/>
      <c r="K8" s="47">
        <f t="shared" si="0"/>
        <v>0</v>
      </c>
      <c r="P8" s="45">
        <v>0.5</v>
      </c>
      <c r="Q8" s="45">
        <v>1</v>
      </c>
      <c r="R8" s="45" t="str">
        <f>IF(AND($K$15&gt;P8,$K$15&lt;=Q8),"X","")</f>
        <v/>
      </c>
      <c r="S8" s="6" t="s">
        <v>6</v>
      </c>
      <c r="T8" s="7"/>
    </row>
    <row r="9" spans="1:20" s="45" customFormat="1" ht="31.5" thickTop="1" thickBot="1" x14ac:dyDescent="0.3">
      <c r="A9" s="185" t="s">
        <v>55</v>
      </c>
      <c r="B9" s="68" t="str">
        <f>VLOOKUP(228,Lang!A1:I2628,Lang!L1+1,FALSE)</f>
        <v xml:space="preserve">extenzivní střešní zahrady - sklon 35° </v>
      </c>
      <c r="C9" s="68" t="str">
        <f>VLOOKUP(235,Lang!A1:I2628,Lang!L1+1,FALSE)</f>
        <v>střešní zahrady a zeleň na podzemních konstrukcích s výškou vegetačního substrátu do 200 mm - sklon 35°</v>
      </c>
      <c r="D9" s="154"/>
      <c r="E9" s="104"/>
      <c r="F9" s="104"/>
      <c r="G9" s="104"/>
      <c r="H9" s="206" t="s">
        <v>55</v>
      </c>
      <c r="I9" s="48">
        <v>0.3</v>
      </c>
      <c r="J9" s="160"/>
      <c r="K9" s="48">
        <f t="shared" si="0"/>
        <v>0</v>
      </c>
    </row>
    <row r="10" spans="1:20" s="45" customFormat="1" ht="31.5" thickTop="1" thickBot="1" x14ac:dyDescent="0.35">
      <c r="A10" s="185" t="s">
        <v>56</v>
      </c>
      <c r="B10" s="68" t="str">
        <f>VLOOKUP(229,Lang!A1:I2628,Lang!L1+1,FALSE)</f>
        <v>intenzivní střešní zahrady</v>
      </c>
      <c r="C10" s="68" t="str">
        <f>VLOOKUP(236,Lang!A1:I2628,Lang!L1+1,FALSE)</f>
        <v>střešní zahrady a zeleň na podzemních konstrukcích s výškou vegetačního substrátu nad 200 mm</v>
      </c>
      <c r="D10" s="154"/>
      <c r="E10" s="104"/>
      <c r="F10" s="104"/>
      <c r="G10" s="104"/>
      <c r="H10" s="37" t="s">
        <v>56</v>
      </c>
      <c r="I10" s="47">
        <v>0.8</v>
      </c>
      <c r="J10" s="160"/>
      <c r="K10" s="47">
        <f t="shared" si="0"/>
        <v>0</v>
      </c>
      <c r="Q10" s="223"/>
      <c r="R10" s="224"/>
      <c r="S10" s="224"/>
    </row>
    <row r="11" spans="1:20" s="45" customFormat="1" ht="20.25" thickTop="1" thickBot="1" x14ac:dyDescent="0.35">
      <c r="A11" s="185" t="s">
        <v>57</v>
      </c>
      <c r="B11" s="68" t="str">
        <f>VLOOKUP(230,Lang!A1:I2628,Lang!L1+1,FALSE)</f>
        <v>tzv. modré resp. modrozelené střechy</v>
      </c>
      <c r="C11" s="68" t="str">
        <f>VLOOKUP(237,Lang!A1:I2628,Lang!L1+1,FALSE)</f>
        <v>střechy s technologií 100% zadržení srážkové vody</v>
      </c>
      <c r="D11" s="154"/>
      <c r="E11" s="104"/>
      <c r="F11" s="104"/>
      <c r="G11" s="104"/>
      <c r="H11" s="206" t="s">
        <v>60</v>
      </c>
      <c r="I11" s="48">
        <v>1</v>
      </c>
      <c r="J11" s="160"/>
      <c r="K11" s="48">
        <f t="shared" si="0"/>
        <v>0</v>
      </c>
      <c r="Q11" s="223"/>
      <c r="R11" s="224"/>
      <c r="S11" s="224"/>
    </row>
    <row r="12" spans="1:20" s="45" customFormat="1" ht="16.5" thickTop="1" thickBot="1" x14ac:dyDescent="0.3">
      <c r="A12" s="185" t="s">
        <v>58</v>
      </c>
      <c r="B12" s="68" t="str">
        <f>VLOOKUP(231,Lang!A1:I2628,Lang!L1+1,FALSE)</f>
        <v>střechy se štěrkovým zásypem</v>
      </c>
      <c r="C12" s="68" t="str">
        <f>VLOOKUP(238,Lang!A1:I2628,Lang!L1+1,FALSE)</f>
        <v>střechy zasypané zpravidla štěrkem frakce 16/32 o síle vrstvy 4-6 cm</v>
      </c>
      <c r="D12" s="154"/>
      <c r="E12" s="104"/>
      <c r="F12" s="104"/>
      <c r="G12" s="104"/>
      <c r="H12" s="37" t="s">
        <v>58</v>
      </c>
      <c r="I12" s="47">
        <v>0.4</v>
      </c>
      <c r="J12" s="160"/>
      <c r="K12" s="47">
        <f t="shared" si="0"/>
        <v>0</v>
      </c>
    </row>
    <row r="13" spans="1:20" ht="31.5" thickTop="1" thickBot="1" x14ac:dyDescent="0.3">
      <c r="H13" s="38" t="s">
        <v>177</v>
      </c>
      <c r="I13" s="49"/>
      <c r="J13" s="187">
        <f>SUM(D6:D12)</f>
        <v>0</v>
      </c>
      <c r="K13" s="50">
        <f>SUM(K6:K12)</f>
        <v>0</v>
      </c>
      <c r="P13" s="2" t="s">
        <v>2</v>
      </c>
      <c r="Q13" s="3" t="s">
        <v>3</v>
      </c>
      <c r="R13" s="4" t="s">
        <v>4</v>
      </c>
      <c r="S13" s="5" t="s">
        <v>5</v>
      </c>
      <c r="T13" s="6" t="s">
        <v>6</v>
      </c>
    </row>
    <row r="14" spans="1:20" ht="31.5" thickTop="1" thickBot="1" x14ac:dyDescent="0.3">
      <c r="A14" s="183"/>
      <c r="H14" s="36"/>
      <c r="I14" s="43"/>
      <c r="J14" s="37" t="s">
        <v>178</v>
      </c>
      <c r="K14" s="37" t="s">
        <v>184</v>
      </c>
      <c r="P14" s="15">
        <v>0</v>
      </c>
      <c r="Q14" s="7" t="s">
        <v>61</v>
      </c>
      <c r="R14" s="7" t="s">
        <v>62</v>
      </c>
      <c r="S14" s="7" t="s">
        <v>63</v>
      </c>
      <c r="T14" s="7" t="s">
        <v>64</v>
      </c>
    </row>
    <row r="15" spans="1:20" ht="30.75" thickTop="1" x14ac:dyDescent="0.25">
      <c r="J15" s="160" t="s">
        <v>183</v>
      </c>
      <c r="K15" t="str">
        <f>IF(J13=0,"neúplné vstupy",K13/J13)</f>
        <v>neúplné vstupy</v>
      </c>
      <c r="Q15" s="45"/>
      <c r="R15" s="45"/>
    </row>
    <row r="16" spans="1:20" x14ac:dyDescent="0.25">
      <c r="E16" s="106"/>
      <c r="F16" s="106"/>
      <c r="Q16" s="45"/>
      <c r="R16" s="45"/>
    </row>
    <row r="17" spans="2:18" ht="18.75" x14ac:dyDescent="0.3">
      <c r="B17" s="72" t="str">
        <f>VLOOKUP(139,Lang!A1:D2628,Lang!L$1+1,FALSE)</f>
        <v>Hodnota indikátoru</v>
      </c>
      <c r="C17" s="70" t="str">
        <f>IF(J13=0,VLOOKUP(41,Lang!A1:D2628,Lang!L$1+1,FALSE),VLOOKUP("X",R4:S8,2,FALSE))</f>
        <v>neúplné vstupy</v>
      </c>
      <c r="D17" s="70" t="str">
        <f>IF(J13=0,VLOOKUP(41,Lang!A1:D2628,Lang!L$1+1,FALSE),K15)</f>
        <v>neúplné vstupy</v>
      </c>
      <c r="E17" s="110"/>
      <c r="F17" s="110"/>
      <c r="G17" s="109"/>
      <c r="Q17" s="45"/>
      <c r="R17" s="45"/>
    </row>
    <row r="18" spans="2:18" ht="18.75" x14ac:dyDescent="0.3">
      <c r="B18" s="65"/>
      <c r="C18" s="66"/>
      <c r="D18" s="186"/>
      <c r="E18" s="108"/>
      <c r="F18" s="108"/>
      <c r="G18" s="108"/>
      <c r="Q18" s="45"/>
      <c r="R18" s="45"/>
    </row>
    <row r="19" spans="2:18" ht="19.5" thickBot="1" x14ac:dyDescent="0.35">
      <c r="B19" s="65"/>
      <c r="C19" s="66"/>
      <c r="D19" s="186"/>
      <c r="E19" s="108"/>
      <c r="F19" s="108"/>
      <c r="G19" s="108"/>
      <c r="Q19" s="45"/>
      <c r="R19" s="45"/>
    </row>
    <row r="20" spans="2:18" ht="19.5" thickBot="1" x14ac:dyDescent="0.35">
      <c r="B20" s="230" t="str">
        <f>VLOOKUP(268,Lang!A$1:D$2628,Lang!L$1+1,FALSE)</f>
        <v>Hodnota pro vložení do Klimaskenu</v>
      </c>
      <c r="C20" s="239" t="str">
        <f>IF(ISNUMBER(D17),D17,"")</f>
        <v/>
      </c>
      <c r="D20" s="186"/>
      <c r="E20" s="108"/>
      <c r="F20" s="108"/>
      <c r="G20" s="108"/>
      <c r="Q20" s="45"/>
      <c r="R20" s="45"/>
    </row>
    <row r="21" spans="2:18" ht="18.75" x14ac:dyDescent="0.3">
      <c r="B21" s="65"/>
      <c r="C21" s="66"/>
      <c r="D21" s="186"/>
      <c r="E21" s="108"/>
      <c r="F21" s="108"/>
      <c r="G21" s="108"/>
      <c r="Q21" s="45"/>
      <c r="R21" s="45"/>
    </row>
    <row r="22" spans="2:18" x14ac:dyDescent="0.25">
      <c r="Q22" s="45"/>
      <c r="R22" s="45"/>
    </row>
  </sheetData>
  <sheetProtection sheet="1" objects="1" scenarios="1"/>
  <mergeCells count="3">
    <mergeCell ref="H4:H5"/>
    <mergeCell ref="I4:I5"/>
    <mergeCell ref="E1:F1"/>
  </mergeCells>
  <conditionalFormatting sqref="C20">
    <cfRule type="iconSet" priority="1">
      <iconSet iconSet="3Symbols2">
        <cfvo type="percent" val="0"/>
        <cfvo type="percent" val="33"/>
        <cfvo type="percent" val="67"/>
      </iconSet>
    </cfRule>
  </conditionalFormatting>
  <hyperlinks>
    <hyperlink ref="B2" r:id="rId1" display="Metodický list indikátoru"/>
  </hyperlinks>
  <pageMargins left="0.7" right="0.7" top="0.78740157499999996" bottom="0.78740157499999996"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5"/>
  <sheetViews>
    <sheetView showGridLines="0" workbookViewId="0">
      <selection activeCell="A7" sqref="A7"/>
    </sheetView>
  </sheetViews>
  <sheetFormatPr defaultRowHeight="15" x14ac:dyDescent="0.25"/>
  <cols>
    <col min="1" max="1" width="82.42578125" style="45" customWidth="1"/>
    <col min="2" max="2" width="19.42578125" style="159" customWidth="1"/>
    <col min="13" max="23" width="9.140625" hidden="1" customWidth="1"/>
    <col min="24" max="26" width="9.140625" customWidth="1"/>
  </cols>
  <sheetData>
    <row r="1" spans="1:21" s="208" customFormat="1" ht="32.25" customHeight="1" x14ac:dyDescent="0.25">
      <c r="A1" s="207" t="str">
        <f>VLOOKUP(67,Lang!A1:D2628,Lang!L1+1,FALSE)</f>
        <v>B-GOV4 - Zajištění prevence proti živelním událostem</v>
      </c>
      <c r="E1" s="297" t="str">
        <f>VLOOKUP(129,Lang!A1:D2628,Lang!L1+1,FALSE)</f>
        <v>Navigace</v>
      </c>
      <c r="F1" s="298"/>
    </row>
    <row r="2" spans="1:21" ht="28.5" customHeight="1" thickBot="1" x14ac:dyDescent="0.3">
      <c r="A2" s="199" t="str">
        <f>VLOOKUP(130,Lang!A1:D2628,Lang!L1+1,FALSE)</f>
        <v>Metodický list indikátoru</v>
      </c>
      <c r="E2" s="100"/>
      <c r="F2" s="101"/>
    </row>
    <row r="3" spans="1:21" x14ac:dyDescent="0.25">
      <c r="A3" s="52"/>
    </row>
    <row r="4" spans="1:21" ht="15.75" thickBot="1" x14ac:dyDescent="0.3">
      <c r="A4" s="52" t="str">
        <f>VLOOKUP(113,Lang!A1:D2628,Lang!L1+1,FALSE)</f>
        <v>Výběr z více možností</v>
      </c>
    </row>
    <row r="5" spans="1:21" ht="16.5" thickTop="1" thickBot="1" x14ac:dyDescent="0.3">
      <c r="A5" s="67" t="str">
        <f>VLOOKUP(240,Lang!A1:D2628,Lang!L1+1,FALSE)</f>
        <v>Hodnocení</v>
      </c>
      <c r="B5" s="177" t="str">
        <f>VLOOKUP(239,Lang!A1:D2628,Lang!L1+1,FALSE)</f>
        <v>ANO/NE</v>
      </c>
      <c r="O5" s="51" t="s">
        <v>22</v>
      </c>
    </row>
    <row r="6" spans="1:21" ht="31.5" thickTop="1" thickBot="1" x14ac:dyDescent="0.3">
      <c r="A6" s="77" t="str">
        <f>VLOOKUP(241,Lang!A1:D2628,Lang!L1+1,FALSE)</f>
        <v>Budova je vybavena požárními senzory (ve společných prostorách a/nebo v bytech) a senzory zaplavení při budovách ohrožených zaplavením.</v>
      </c>
      <c r="B6" s="154"/>
      <c r="O6" s="37">
        <v>1</v>
      </c>
      <c r="P6">
        <f>IF(B6=VLOOKUP(74,Lang!A$1:I$2628,Lang!L$1+1,FALSE),O6,0)</f>
        <v>0</v>
      </c>
      <c r="R6">
        <v>0</v>
      </c>
      <c r="S6">
        <v>2</v>
      </c>
      <c r="T6" t="str">
        <f>IF(AND(P$16&gt;=R6,P$16&lt;=S6),"X","")</f>
        <v>X</v>
      </c>
      <c r="U6" t="s">
        <v>2</v>
      </c>
    </row>
    <row r="7" spans="1:21" ht="46.5" thickTop="1" thickBot="1" x14ac:dyDescent="0.3">
      <c r="A7" s="77" t="str">
        <f>VLOOKUP(242,Lang!A1:D2628,Lang!L1+1,FALSE)</f>
        <v>Všechny společné prostory budovy jsou v souladu s protipožárními předpisy volně průchodné bez bariér a překážek. Všechny hlavní vypínače a uzávěry jsou označeny a dostupné. Budova je vybavena protipožárním vybavením v souladu s předpisy.</v>
      </c>
      <c r="B7" s="154"/>
      <c r="O7" s="97">
        <v>1</v>
      </c>
      <c r="P7">
        <f>IF(B7=VLOOKUP(74,Lang!A$1:I$2628,Lang!L$1+1,FALSE),O7,0)</f>
        <v>0</v>
      </c>
      <c r="R7">
        <v>3</v>
      </c>
      <c r="S7">
        <v>4</v>
      </c>
      <c r="T7" t="str">
        <f t="shared" ref="T7:T10" si="0">IF(AND(P$16&gt;=R7,P$16&lt;=S7),"X","")</f>
        <v/>
      </c>
      <c r="U7" t="s">
        <v>3</v>
      </c>
    </row>
    <row r="8" spans="1:21" ht="31.5" thickTop="1" thickBot="1" x14ac:dyDescent="0.3">
      <c r="A8" s="77" t="str">
        <f>VLOOKUP(243,Lang!A1:D2628,Lang!L1+1,FALSE)</f>
        <v>Uživatelé jsou poučeni o principech chování při živelných katastrofách (zabezpečení majetku, odpojení zařízení, zajištění přístupu k informacím, zavření oken, atd.).</v>
      </c>
      <c r="B8" s="154"/>
      <c r="O8" s="37">
        <v>1</v>
      </c>
      <c r="P8">
        <f>IF(B8=VLOOKUP(74,Lang!A$1:I$2628,Lang!L$1+1,FALSE),O8,0)</f>
        <v>0</v>
      </c>
      <c r="R8">
        <v>5</v>
      </c>
      <c r="S8">
        <v>6</v>
      </c>
      <c r="T8" t="str">
        <f t="shared" si="0"/>
        <v/>
      </c>
      <c r="U8" t="s">
        <v>4</v>
      </c>
    </row>
    <row r="9" spans="1:21" ht="46.5" thickTop="1" thickBot="1" x14ac:dyDescent="0.3">
      <c r="A9" s="77" t="str">
        <f>VLOOKUP(244,Lang!A1:D2628,Lang!L1+1,FALSE)</f>
        <v>Uživatelé jsou aktivně informováni o principech zabezpečení budovy před povodní, záplavami a dopady extrémního počasí, znají umístění klíčových technologických prvků budovy, mají k nim přístup a jsou ochotni spolupracovat.</v>
      </c>
      <c r="B9" s="154"/>
      <c r="O9" s="97">
        <v>1</v>
      </c>
      <c r="P9">
        <f>IF(B9=VLOOKUP(74,Lang!A$1:I$2628,Lang!L$1+1,FALSE),O9,0)</f>
        <v>0</v>
      </c>
      <c r="R9">
        <v>7</v>
      </c>
      <c r="S9">
        <v>8</v>
      </c>
      <c r="T9" t="str">
        <f t="shared" si="0"/>
        <v/>
      </c>
      <c r="U9" t="s">
        <v>5</v>
      </c>
    </row>
    <row r="10" spans="1:21" ht="31.5" thickTop="1" thickBot="1" x14ac:dyDescent="0.3">
      <c r="A10" s="77" t="str">
        <f>VLOOKUP(245,Lang!A1:D2628,Lang!L1+1,FALSE)</f>
        <v>Budova je vybavena záložním zdrojem / zařízením na výrobu elektrického proudu pro případ blackoutu.</v>
      </c>
      <c r="B10" s="154"/>
      <c r="O10" s="37">
        <v>1</v>
      </c>
      <c r="P10">
        <f>IF(B10=VLOOKUP(74,Lang!A$1:I$2628,Lang!L$1+1,FALSE),O10,0)</f>
        <v>0</v>
      </c>
      <c r="R10">
        <v>9</v>
      </c>
      <c r="S10">
        <v>10</v>
      </c>
      <c r="T10" t="str">
        <f t="shared" si="0"/>
        <v/>
      </c>
      <c r="U10" t="s">
        <v>6</v>
      </c>
    </row>
    <row r="11" spans="1:21" ht="16.5" thickTop="1" thickBot="1" x14ac:dyDescent="0.3">
      <c r="A11" s="77" t="str">
        <f>VLOOKUP(246,Lang!A1:D2628,Lang!L1+1,FALSE)</f>
        <v xml:space="preserve">Budova má dva nezávislé zdroje vody (alespoň užitkové).                                                                                              </v>
      </c>
      <c r="B11" s="154"/>
      <c r="O11" s="97">
        <v>1</v>
      </c>
      <c r="P11">
        <f>IF(B11=VLOOKUP(74,Lang!A$1:I$2628,Lang!L$1+1,FALSE),O11,0)</f>
        <v>0</v>
      </c>
    </row>
    <row r="12" spans="1:21" ht="46.5" thickTop="1" thickBot="1" x14ac:dyDescent="0.3">
      <c r="A12" s="77" t="str">
        <f>VLOOKUP(247,Lang!A1:D2628,Lang!L1+1,FALSE)</f>
        <v>Pokud budova nemá záložní zdroj proudu a je vytápěna topidly na pevná paliva připojenými na otopnou soustavu, je tento systém vybaven dochlazovací smyčkou (prevence poškození při odpojení čerpadel).</v>
      </c>
      <c r="B12" s="154"/>
      <c r="O12" s="37">
        <v>1</v>
      </c>
      <c r="P12">
        <f>IF(B12=VLOOKUP(74,Lang!A$1:I$2628,Lang!L$1+1,FALSE),O12,0)</f>
        <v>0</v>
      </c>
    </row>
    <row r="13" spans="1:21" ht="31.5" thickTop="1" thickBot="1" x14ac:dyDescent="0.3">
      <c r="A13" s="77" t="str">
        <f>VLOOKUP(248,Lang!A1:D2628,Lang!L1+1,FALSE)</f>
        <v>Budova má společné prostory, kde je možné se v případě veder ochladit a v případě mimořádných situací shromáždit.</v>
      </c>
      <c r="B13" s="154"/>
      <c r="O13" s="97">
        <v>1</v>
      </c>
      <c r="P13">
        <f>IF(B13=VLOOKUP(74,Lang!A$1:I$2628,Lang!L$1+1,FALSE),O13,0)</f>
        <v>0</v>
      </c>
    </row>
    <row r="14" spans="1:21" ht="16.5" thickTop="1" thickBot="1" x14ac:dyDescent="0.3">
      <c r="A14" s="77" t="str">
        <f>VLOOKUP(249,Lang!A1:D2628,Lang!L1+1,FALSE)</f>
        <v>Budova má správce, který provádí pravidelnou údržbu a kontrolu.</v>
      </c>
      <c r="B14" s="154"/>
      <c r="O14" s="37">
        <v>1</v>
      </c>
      <c r="P14">
        <f>IF(B14=VLOOKUP(74,Lang!A$1:I$2628,Lang!L$1+1,FALSE),O14,0)</f>
        <v>0</v>
      </c>
    </row>
    <row r="15" spans="1:21" ht="31.5" thickTop="1" thickBot="1" x14ac:dyDescent="0.3">
      <c r="A15" s="77" t="str">
        <f>VLOOKUP(250,Lang!A1:D2628,Lang!L1+1,FALSE)</f>
        <v>Nejméně 3/4 obyvatel (domácností) budovy jsou registrovány v systému umožňujícím rychlé informování v případě nouzových či havarijních stavů (SMS, e-mail).</v>
      </c>
      <c r="B15" s="154"/>
      <c r="O15" s="97">
        <v>1</v>
      </c>
      <c r="P15">
        <f>IF(B15=VLOOKUP(74,Lang!A$1:I$2628,Lang!L$1+1,FALSE),O15,0)</f>
        <v>0</v>
      </c>
    </row>
    <row r="16" spans="1:21" ht="15.75" thickTop="1" x14ac:dyDescent="0.25">
      <c r="C16" s="60" t="str">
        <f>IF(COUNTBLANK(B6:B15)&gt;0,CONCATENATE(VLOOKUP(155,Lang!A1:D2628,Lang!L1+1,FALSE),COUNTBLANK(B6:B15)," ",VLOOKUP(156,Lang!A1:D2628,Lang!L1+1,FALSE)),"")</f>
        <v>Některé parametry (10 celkem) nemáte vyplněné. Nezapomněli jste?</v>
      </c>
      <c r="P16">
        <f>SUM(P6:P15)</f>
        <v>0</v>
      </c>
    </row>
    <row r="19" spans="1:19" ht="18.75" x14ac:dyDescent="0.3">
      <c r="A19" s="72" t="str">
        <f>VLOOKUP(139,Lang!A1:D2628,Lang!L$1+1,FALSE)</f>
        <v>Hodnota indikátoru</v>
      </c>
      <c r="B19" s="163" t="str">
        <f>VLOOKUP("X",T6:U10,2,FALSE)</f>
        <v>5 (E)</v>
      </c>
      <c r="C19" s="70">
        <f>+P16</f>
        <v>0</v>
      </c>
    </row>
    <row r="20" spans="1:19" ht="15.75" thickBot="1" x14ac:dyDescent="0.3">
      <c r="O20" s="45"/>
    </row>
    <row r="21" spans="1:19" ht="15.75" thickBot="1" x14ac:dyDescent="0.3">
      <c r="O21" s="2" t="s">
        <v>2</v>
      </c>
      <c r="P21" s="3" t="s">
        <v>3</v>
      </c>
      <c r="Q21" s="4" t="s">
        <v>4</v>
      </c>
      <c r="R21" s="5" t="s">
        <v>5</v>
      </c>
      <c r="S21" s="6" t="s">
        <v>6</v>
      </c>
    </row>
    <row r="22" spans="1:19" ht="18" thickBot="1" x14ac:dyDescent="0.35">
      <c r="A22" s="230" t="str">
        <f>VLOOKUP(268,Lang!A$1:D$2628,Lang!L$1+1,FALSE)</f>
        <v>Hodnota pro vložení do Klimaskenu</v>
      </c>
      <c r="B22" s="231" t="str">
        <f>IF(C16="",C19,"")</f>
        <v/>
      </c>
      <c r="O22" s="15" t="s">
        <v>65</v>
      </c>
      <c r="P22" s="15"/>
      <c r="Q22" s="15"/>
      <c r="R22" s="15"/>
      <c r="S22" s="15"/>
    </row>
    <row r="23" spans="1:19" x14ac:dyDescent="0.25">
      <c r="O23" s="45"/>
    </row>
    <row r="24" spans="1:19" x14ac:dyDescent="0.25">
      <c r="O24" s="45"/>
    </row>
    <row r="25" spans="1:19" x14ac:dyDescent="0.25">
      <c r="O25" s="45"/>
    </row>
  </sheetData>
  <sheetProtection sheet="1" objects="1" scenarios="1"/>
  <mergeCells count="1">
    <mergeCell ref="E1:F1"/>
  </mergeCells>
  <conditionalFormatting sqref="B22">
    <cfRule type="iconSet" priority="1">
      <iconSet iconSet="3Symbols2">
        <cfvo type="percent" val="0"/>
        <cfvo type="percent" val="33"/>
        <cfvo type="percent" val="67"/>
      </iconSet>
    </cfRule>
  </conditionalFormatting>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INDIRECT(CONCATENATE("ANONE",Lang!L$1))</xm:f>
          </x14:formula1>
          <xm:sqref>B6:B15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election activeCell="A9" sqref="A9"/>
    </sheetView>
  </sheetViews>
  <sheetFormatPr defaultRowHeight="15" x14ac:dyDescent="0.25"/>
  <cols>
    <col min="1" max="1" width="110" customWidth="1"/>
    <col min="8" max="8" width="9.140625" hidden="1" customWidth="1"/>
    <col min="9" max="9" width="18.5703125" hidden="1" customWidth="1"/>
    <col min="10" max="18" width="9.140625" hidden="1" customWidth="1"/>
    <col min="19" max="20" width="9.140625" customWidth="1"/>
  </cols>
  <sheetData>
    <row r="1" spans="1:12" s="208" customFormat="1" ht="32.25" customHeight="1" x14ac:dyDescent="0.25">
      <c r="A1" s="207" t="str">
        <f>VLOOKUP(100,Lang!A1:D2628,Lang!L1+1,FALSE)</f>
        <v>Emisní indikátory - upřesnění státu</v>
      </c>
      <c r="E1" s="221"/>
      <c r="F1" s="297" t="str">
        <f>VLOOKUP(129,Lang!A1:D2628,Lang!L1+1,FALSE)</f>
        <v>Navigace</v>
      </c>
      <c r="G1" s="298"/>
    </row>
    <row r="2" spans="1:12" ht="15.75" thickBot="1" x14ac:dyDescent="0.3">
      <c r="F2" s="220"/>
      <c r="G2" s="225"/>
    </row>
    <row r="5" spans="1:12" s="139" customFormat="1" ht="23.25" customHeight="1" x14ac:dyDescent="0.25">
      <c r="A5" s="211" t="str">
        <f>VLOOKUP(100,Lang!A1:D2628,Lang!L1+1,FALSE)</f>
        <v>Emisní indikátory - upřesnění státu</v>
      </c>
    </row>
    <row r="6" spans="1:12" x14ac:dyDescent="0.25">
      <c r="A6" t="str">
        <f>VLOOKUP(101,Lang!A1:D2628,Lang!L1+1,FALSE)</f>
        <v>Některé emisní faktory se významně liší podle státu. Upřesněte prosím zemi, pro kterou má být výpočet prováděn.</v>
      </c>
    </row>
    <row r="7" spans="1:12" s="139" customFormat="1" ht="45" customHeight="1" x14ac:dyDescent="0.25">
      <c r="A7" s="139" t="str">
        <f>VLOOKUP(102,Lang!A1:D2628,Lang!L1+1,FALSE)</f>
        <v>Pokud zemi neupřesníte, budou uvažovány hodnoty pro Českou republiku.</v>
      </c>
    </row>
    <row r="8" spans="1:12" x14ac:dyDescent="0.25">
      <c r="L8">
        <f>COLUMN()</f>
        <v>12</v>
      </c>
    </row>
    <row r="9" spans="1:12" x14ac:dyDescent="0.25">
      <c r="A9" s="87"/>
      <c r="I9" t="s">
        <v>486</v>
      </c>
      <c r="J9" t="s">
        <v>486</v>
      </c>
      <c r="K9" t="s">
        <v>488</v>
      </c>
      <c r="L9" s="252" t="s">
        <v>1104</v>
      </c>
    </row>
    <row r="10" spans="1:12" x14ac:dyDescent="0.25">
      <c r="I10" s="249" t="s">
        <v>487</v>
      </c>
      <c r="J10" t="s">
        <v>487</v>
      </c>
      <c r="K10" t="s">
        <v>1122</v>
      </c>
      <c r="L10" s="252" t="s">
        <v>1105</v>
      </c>
    </row>
    <row r="11" spans="1:12" x14ac:dyDescent="0.25">
      <c r="I11" t="s">
        <v>1140</v>
      </c>
      <c r="J11" t="s">
        <v>1140</v>
      </c>
      <c r="K11" t="s">
        <v>1123</v>
      </c>
      <c r="L11" s="252" t="s">
        <v>1106</v>
      </c>
    </row>
    <row r="12" spans="1:12" x14ac:dyDescent="0.25">
      <c r="A12" t="str">
        <f ca="1">CONCATENATE(IF(ISNA(I33),VLOOKUP(255,Lang!A1:D2628,Lang!L1+1,FALSE),VLOOKUP(254,Lang!A1:D2628,Lang!L1+1,FALSE)),I34)</f>
        <v>Automaticky zvolená země: CZE</v>
      </c>
      <c r="I12" t="s">
        <v>1156</v>
      </c>
      <c r="J12" t="s">
        <v>1141</v>
      </c>
      <c r="K12" t="s">
        <v>1124</v>
      </c>
      <c r="L12" s="252" t="s">
        <v>1107</v>
      </c>
    </row>
    <row r="13" spans="1:12" x14ac:dyDescent="0.25">
      <c r="I13" t="s">
        <v>1157</v>
      </c>
      <c r="J13" t="s">
        <v>1142</v>
      </c>
      <c r="K13" t="s">
        <v>1125</v>
      </c>
      <c r="L13" s="252" t="s">
        <v>1108</v>
      </c>
    </row>
    <row r="14" spans="1:12" x14ac:dyDescent="0.25">
      <c r="I14" t="s">
        <v>1158</v>
      </c>
      <c r="J14" t="s">
        <v>1143</v>
      </c>
      <c r="K14" t="s">
        <v>1126</v>
      </c>
      <c r="L14" s="252" t="s">
        <v>1109</v>
      </c>
    </row>
    <row r="15" spans="1:12" x14ac:dyDescent="0.25">
      <c r="I15" t="s">
        <v>1159</v>
      </c>
      <c r="J15" t="s">
        <v>1144</v>
      </c>
      <c r="K15" t="s">
        <v>1127</v>
      </c>
      <c r="L15" s="252" t="s">
        <v>1110</v>
      </c>
    </row>
    <row r="16" spans="1:12" x14ac:dyDescent="0.25">
      <c r="I16" t="s">
        <v>1145</v>
      </c>
      <c r="J16" t="s">
        <v>1145</v>
      </c>
      <c r="K16" t="s">
        <v>1128</v>
      </c>
      <c r="L16" s="252" t="s">
        <v>1111</v>
      </c>
    </row>
    <row r="17" spans="9:12" x14ac:dyDescent="0.25">
      <c r="I17" t="s">
        <v>1160</v>
      </c>
      <c r="J17" t="s">
        <v>1146</v>
      </c>
      <c r="K17" t="s">
        <v>1129</v>
      </c>
      <c r="L17" s="252" t="s">
        <v>1112</v>
      </c>
    </row>
    <row r="18" spans="9:12" x14ac:dyDescent="0.25">
      <c r="I18" t="s">
        <v>1161</v>
      </c>
      <c r="J18" t="s">
        <v>1130</v>
      </c>
      <c r="K18" t="s">
        <v>1130</v>
      </c>
      <c r="L18" s="252" t="s">
        <v>1113</v>
      </c>
    </row>
    <row r="19" spans="9:12" x14ac:dyDescent="0.25">
      <c r="I19" t="s">
        <v>1147</v>
      </c>
      <c r="J19" t="s">
        <v>1147</v>
      </c>
      <c r="K19" t="s">
        <v>1131</v>
      </c>
      <c r="L19" s="252" t="s">
        <v>1114</v>
      </c>
    </row>
    <row r="20" spans="9:12" x14ac:dyDescent="0.25">
      <c r="I20" t="s">
        <v>1162</v>
      </c>
      <c r="J20" t="s">
        <v>1148</v>
      </c>
      <c r="K20" t="s">
        <v>1132</v>
      </c>
      <c r="L20" s="252" t="s">
        <v>1115</v>
      </c>
    </row>
    <row r="21" spans="9:12" x14ac:dyDescent="0.25">
      <c r="I21" t="s">
        <v>1163</v>
      </c>
      <c r="J21" t="s">
        <v>1149</v>
      </c>
      <c r="K21" t="s">
        <v>1133</v>
      </c>
      <c r="L21" s="252" t="s">
        <v>56</v>
      </c>
    </row>
    <row r="22" spans="9:12" x14ac:dyDescent="0.25">
      <c r="I22" t="s">
        <v>1150</v>
      </c>
      <c r="J22" t="s">
        <v>1150</v>
      </c>
      <c r="K22" t="s">
        <v>1134</v>
      </c>
      <c r="L22" s="252" t="s">
        <v>1116</v>
      </c>
    </row>
    <row r="23" spans="9:12" x14ac:dyDescent="0.25">
      <c r="I23" t="s">
        <v>1151</v>
      </c>
      <c r="J23" t="s">
        <v>1151</v>
      </c>
      <c r="K23" t="s">
        <v>1135</v>
      </c>
      <c r="L23" s="252" t="s">
        <v>1117</v>
      </c>
    </row>
    <row r="24" spans="9:12" x14ac:dyDescent="0.25">
      <c r="I24" t="s">
        <v>1164</v>
      </c>
      <c r="J24" t="s">
        <v>1152</v>
      </c>
      <c r="K24" t="s">
        <v>1136</v>
      </c>
      <c r="L24" s="252" t="s">
        <v>1118</v>
      </c>
    </row>
    <row r="25" spans="9:12" x14ac:dyDescent="0.25">
      <c r="I25" t="s">
        <v>1153</v>
      </c>
      <c r="J25" t="s">
        <v>1153</v>
      </c>
      <c r="K25" t="s">
        <v>1137</v>
      </c>
      <c r="L25" s="252" t="s">
        <v>1119</v>
      </c>
    </row>
    <row r="26" spans="9:12" x14ac:dyDescent="0.25">
      <c r="I26" t="s">
        <v>1154</v>
      </c>
      <c r="J26" t="s">
        <v>1154</v>
      </c>
      <c r="K26" t="s">
        <v>1138</v>
      </c>
      <c r="L26" s="252" t="s">
        <v>1120</v>
      </c>
    </row>
    <row r="27" spans="9:12" x14ac:dyDescent="0.25">
      <c r="I27" t="s">
        <v>1155</v>
      </c>
      <c r="J27" t="s">
        <v>1155</v>
      </c>
      <c r="K27" t="s">
        <v>1139</v>
      </c>
      <c r="L27" s="252" t="s">
        <v>1121</v>
      </c>
    </row>
    <row r="33" spans="9:9" x14ac:dyDescent="0.25">
      <c r="I33" t="e">
        <f ca="1">VLOOKUP(A9,INDIRECT(CONCATENATE(ADDRESS(9,8+Lang!L1),":",ADDRESS(27,12))),5-Lang!L1,FALSE)</f>
        <v>#N/A</v>
      </c>
    </row>
    <row r="34" spans="9:9" x14ac:dyDescent="0.25">
      <c r="I34" s="1" t="str">
        <f ca="1">IF(ISNA(I33),"CZE",I33)</f>
        <v>CZE</v>
      </c>
    </row>
  </sheetData>
  <sheetProtection sheet="1" objects="1" scenarios="1"/>
  <mergeCells count="1">
    <mergeCell ref="F1:G1"/>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INDIRECT(CONCATENATE("Zemef_",Lang!L$1))</xm:f>
          </x14:formula1>
          <xm:sqref>A9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Q39"/>
  <sheetViews>
    <sheetView showGridLines="0" workbookViewId="0">
      <selection activeCell="D30" sqref="D30"/>
    </sheetView>
  </sheetViews>
  <sheetFormatPr defaultRowHeight="15" x14ac:dyDescent="0.25"/>
  <cols>
    <col min="1" max="1" width="86.7109375" customWidth="1"/>
    <col min="2" max="2" width="35.85546875" customWidth="1"/>
    <col min="3" max="3" width="27.140625" customWidth="1"/>
    <col min="4" max="4" width="11.5703125" bestFit="1" customWidth="1"/>
    <col min="7" max="7" width="9.140625" hidden="1" customWidth="1"/>
    <col min="8" max="8" width="6.28515625" hidden="1" customWidth="1"/>
    <col min="9" max="9" width="9.7109375" hidden="1" customWidth="1"/>
    <col min="10" max="10" width="12" hidden="1" customWidth="1"/>
    <col min="11" max="11" width="10.85546875" hidden="1" customWidth="1"/>
    <col min="12" max="12" width="15.7109375" hidden="1" customWidth="1"/>
    <col min="13" max="15" width="9.140625" hidden="1" customWidth="1"/>
    <col min="16" max="16" width="19.28515625" hidden="1" customWidth="1"/>
    <col min="17" max="17" width="9.140625" hidden="1" customWidth="1"/>
    <col min="18" max="18" width="0" hidden="1" customWidth="1"/>
  </cols>
  <sheetData>
    <row r="1" spans="1:14" s="139" customFormat="1" ht="28.5" customHeight="1" x14ac:dyDescent="0.25">
      <c r="A1" s="155" t="str">
        <f>VLOOKUP(68,Lang!A1:D2628,Lang!L1+1,FALSE)</f>
        <v>B-EMI1 - Spotřeba tepla v budově – zdroj v budově</v>
      </c>
      <c r="E1" s="309" t="str">
        <f>VLOOKUP(129,Lang!A1:D2628,Lang!L1+1,FALSE)</f>
        <v>Navigace</v>
      </c>
      <c r="F1" s="310"/>
      <c r="G1" s="188"/>
    </row>
    <row r="2" spans="1:14" ht="28.5" customHeight="1" thickBot="1" x14ac:dyDescent="0.3">
      <c r="A2" s="199" t="str">
        <f>VLOOKUP(130,Lang!A1:D2628,Lang!L1+1,FALSE)</f>
        <v>Metodický list indikátoru</v>
      </c>
      <c r="E2" s="100"/>
      <c r="F2" s="101"/>
      <c r="G2" s="111"/>
    </row>
    <row r="3" spans="1:14" x14ac:dyDescent="0.25">
      <c r="A3" s="28"/>
    </row>
    <row r="4" spans="1:14" s="139" customFormat="1" ht="45" customHeight="1" x14ac:dyDescent="0.25">
      <c r="A4" s="226" t="str">
        <f>VLOOKUP(251,Lang!$A$1:$I$2628,Lang!$L$1+1,FALSE)</f>
        <v>Pro výpočet emisí na osobu bude použita hodnota z indikátoru B-POP4:</v>
      </c>
      <c r="B4" s="189" t="str">
        <f>IF('B-POP4'!B4="",VLOOKUP(252,Lang!$A$1:$I$2628,Lang!$L$1+1,FALSE),'B-POP4'!B4)</f>
        <v>Hodnota v B-POP4 není zadaná, prosím doplňte jí.</v>
      </c>
    </row>
    <row r="5" spans="1:14" x14ac:dyDescent="0.25">
      <c r="A5" s="28"/>
      <c r="B5" s="60" t="str">
        <f>IF('B-POP4'!B4="",VLOOKUP(253,Lang!$A$1:$I$2628,Lang!$L$1+1,FALSE),"")</f>
        <v>při nezadání je dosazena hodnota  1 obyvatel</v>
      </c>
    </row>
    <row r="6" spans="1:14" ht="15.75" thickBot="1" x14ac:dyDescent="0.3">
      <c r="A6" s="121" t="str">
        <f>VLOOKUP(256,Lang!$A$1:$I$2628,Lang!$L$1+1,FALSE)</f>
        <v>Zdroj</v>
      </c>
      <c r="B6" s="122" t="s">
        <v>102</v>
      </c>
    </row>
    <row r="7" spans="1:14" ht="16.5" thickBot="1" x14ac:dyDescent="0.3">
      <c r="A7" s="87"/>
      <c r="B7" s="87"/>
      <c r="H7" s="113" t="s">
        <v>28</v>
      </c>
      <c r="I7" s="114" t="s">
        <v>29</v>
      </c>
      <c r="J7" s="115" t="s">
        <v>30</v>
      </c>
      <c r="K7" s="116" t="s">
        <v>53</v>
      </c>
      <c r="L7" s="117" t="s">
        <v>104</v>
      </c>
      <c r="N7">
        <f>+B7*EF!D3</f>
        <v>0</v>
      </c>
    </row>
    <row r="8" spans="1:14" ht="16.5" hidden="1" thickBot="1" x14ac:dyDescent="0.3">
      <c r="A8" s="61" t="str">
        <f>VLOOKUP(258,Lang!$A$1:$I$2628,Lang!$L$1+1,FALSE)</f>
        <v>Fosilní zdroje - elektřina (běžný mix)</v>
      </c>
      <c r="B8" s="87"/>
      <c r="C8" s="123"/>
      <c r="H8" s="118" t="s">
        <v>105</v>
      </c>
      <c r="I8" s="119" t="s">
        <v>106</v>
      </c>
      <c r="J8" s="119" t="s">
        <v>107</v>
      </c>
      <c r="K8" s="119" t="s">
        <v>108</v>
      </c>
      <c r="L8" s="120" t="s">
        <v>179</v>
      </c>
      <c r="N8">
        <f ca="1">+B8*VLOOKUP('Výběr státu'!$I$34,EF!A12:E30,5,FALSE)</f>
        <v>0</v>
      </c>
    </row>
    <row r="9" spans="1:14" hidden="1" x14ac:dyDescent="0.25">
      <c r="A9" s="61" t="str">
        <f>VLOOKUP(259,Lang!$A$1:$I$2628,Lang!$L$1+1,FALSE)</f>
        <v>Fosilní zdroje - uhlí (černé i hnědé)</v>
      </c>
      <c r="B9" s="87"/>
      <c r="K9">
        <f>IF('B-POP4'!B4="",1,'B-POP4'!B4)</f>
        <v>1</v>
      </c>
      <c r="N9">
        <f>+B9*EF!D4</f>
        <v>0</v>
      </c>
    </row>
    <row r="10" spans="1:14" hidden="1" x14ac:dyDescent="0.25">
      <c r="A10" s="61" t="str">
        <f>VLOOKUP(260,Lang!$A$1:$I$2628,Lang!$L$1+1,FALSE)</f>
        <v>Fosilní zdroje - mazut, topný olej</v>
      </c>
      <c r="B10" s="87"/>
      <c r="H10">
        <v>2401</v>
      </c>
      <c r="I10" t="s">
        <v>104</v>
      </c>
      <c r="J10" t="str">
        <f>IF(C$17&gt;=H10,5,"")</f>
        <v/>
      </c>
      <c r="L10">
        <v>5</v>
      </c>
      <c r="M10" t="s">
        <v>104</v>
      </c>
      <c r="N10">
        <f>+B10*EF!D5</f>
        <v>0</v>
      </c>
    </row>
    <row r="11" spans="1:14" ht="17.25" hidden="1" customHeight="1" x14ac:dyDescent="0.25">
      <c r="A11" s="68" t="str">
        <f>VLOOKUP(261,Lang!$A$1:$I$2628,Lang!$L$1+1,FALSE)</f>
        <v>Nefosilní zdroje - bioplyn, solární výroba tepla, biopodpad…</v>
      </c>
      <c r="B11" s="87"/>
      <c r="H11">
        <v>2400</v>
      </c>
      <c r="I11" t="s">
        <v>53</v>
      </c>
      <c r="J11">
        <f>IF(C$17&lt;=H11,4,"")</f>
        <v>4</v>
      </c>
      <c r="L11">
        <v>4</v>
      </c>
      <c r="M11" t="s">
        <v>53</v>
      </c>
      <c r="N11">
        <f>+B11*EF!D6</f>
        <v>0</v>
      </c>
    </row>
    <row r="12" spans="1:14" hidden="1" x14ac:dyDescent="0.25">
      <c r="A12" s="61" t="str">
        <f>VLOOKUP(262,Lang!$A$1:$I$2628,Lang!$L$1+1,FALSE)</f>
        <v>Nefosilní zdroje - elektřina z OZE</v>
      </c>
      <c r="B12" s="87"/>
      <c r="H12">
        <v>1800</v>
      </c>
      <c r="I12" t="s">
        <v>30</v>
      </c>
      <c r="J12">
        <f>IF(C$17&lt;=H12,3,"")</f>
        <v>3</v>
      </c>
      <c r="L12">
        <v>3</v>
      </c>
      <c r="M12" t="s">
        <v>30</v>
      </c>
      <c r="N12">
        <v>0</v>
      </c>
    </row>
    <row r="13" spans="1:14" hidden="1" x14ac:dyDescent="0.25">
      <c r="A13" s="61" t="str">
        <f>VLOOKUP(263,Lang!$A$1:$I$2628,Lang!$L$1+1,FALSE)</f>
        <v>Mix zdrojů</v>
      </c>
      <c r="B13" s="87"/>
      <c r="H13">
        <v>1200</v>
      </c>
      <c r="I13" t="s">
        <v>29</v>
      </c>
      <c r="J13">
        <f>IF(C$17&lt;=H13,2,"")</f>
        <v>2</v>
      </c>
      <c r="L13">
        <v>2</v>
      </c>
      <c r="M13" t="s">
        <v>29</v>
      </c>
      <c r="N13">
        <f>+B13*EF!D7</f>
        <v>0</v>
      </c>
    </row>
    <row r="14" spans="1:14" x14ac:dyDescent="0.25">
      <c r="A14" s="236"/>
      <c r="B14" s="237"/>
      <c r="H14">
        <v>600</v>
      </c>
      <c r="I14" t="s">
        <v>28</v>
      </c>
      <c r="J14">
        <f>IF(C$17&lt;=H14,1,"")</f>
        <v>1</v>
      </c>
      <c r="L14">
        <v>1</v>
      </c>
      <c r="M14" t="s">
        <v>28</v>
      </c>
      <c r="N14">
        <f t="shared" ref="N14" si="0">+B14*1</f>
        <v>0</v>
      </c>
    </row>
    <row r="15" spans="1:14" x14ac:dyDescent="0.25">
      <c r="A15" s="28"/>
      <c r="N15">
        <f ca="1">SUM(N7:N14)</f>
        <v>0</v>
      </c>
    </row>
    <row r="16" spans="1:14" x14ac:dyDescent="0.25">
      <c r="A16" s="28"/>
    </row>
    <row r="17" spans="1:10" ht="18.75" hidden="1" x14ac:dyDescent="0.3">
      <c r="A17" s="72" t="str">
        <f>VLOOKUP(139,Lang!A1:D2628,Lang!L$1+1,FALSE)</f>
        <v>Hodnota indikátoru</v>
      </c>
      <c r="B17" s="70" t="str">
        <f>IF(SUM(B7:B13)=0,"",CONCATENATE(N15,"  kg CO₂"))</f>
        <v/>
      </c>
    </row>
    <row r="18" spans="1:10" x14ac:dyDescent="0.25">
      <c r="A18" s="28"/>
    </row>
    <row r="19" spans="1:10" x14ac:dyDescent="0.25">
      <c r="A19" s="28"/>
      <c r="J19" s="99" t="str">
        <f>VLOOKUP(257,Lang!$A$1:$I$2628,Lang!$L$1+1,FALSE)</f>
        <v>Fosilní zdroje - zemní plyn</v>
      </c>
    </row>
    <row r="20" spans="1:10" x14ac:dyDescent="0.25">
      <c r="A20" s="1" t="str">
        <f>IF('Výběr státu'!A9="",CONCATENATE(VLOOKUP(255,Lang!A1:D2628,Lang!L$1+1,FALSE),VLOOKUP(103,Lang!A1:D2628,Lang!L$1+1,FALSE)),CONCATENATE(VLOOKUP(254,Lang!A1:D2628,Lang!L$1+1,FALSE),'Výběr státu'!A9))</f>
        <v>Automaticky zvolená země: Česká republika</v>
      </c>
      <c r="J20" s="99" t="str">
        <f>VLOOKUP(258,Lang!$A$1:$I$2628,Lang!$L$1+1,FALSE)</f>
        <v>Fosilní zdroje - elektřina (běžný mix)</v>
      </c>
    </row>
    <row r="21" spans="1:10" x14ac:dyDescent="0.25">
      <c r="A21" s="28"/>
      <c r="J21" s="99" t="str">
        <f>VLOOKUP(259,Lang!$A$1:$I$2628,Lang!$L$1+1,FALSE)</f>
        <v>Fosilní zdroje - uhlí (černé i hnědé)</v>
      </c>
    </row>
    <row r="22" spans="1:10" ht="15.75" thickBot="1" x14ac:dyDescent="0.3">
      <c r="A22" s="28"/>
      <c r="J22" s="99" t="str">
        <f>VLOOKUP(260,Lang!$A$1:$I$2628,Lang!$L$1+1,FALSE)</f>
        <v>Fosilní zdroje - mazut, topný olej</v>
      </c>
    </row>
    <row r="23" spans="1:10" ht="18" thickBot="1" x14ac:dyDescent="0.35">
      <c r="A23" s="230" t="str">
        <f>VLOOKUP(268,Lang!A$1:D$2628,Lang!L$1+1,FALSE)</f>
        <v>Hodnota pro vložení do Klimaskenu</v>
      </c>
      <c r="B23" s="238" t="str">
        <f>IF(OR(A7="",SUM(B7:B13)=0),"",MAX(B7:B13))</f>
        <v/>
      </c>
      <c r="J23" s="285" t="str">
        <f>VLOOKUP(261,Lang!$A$1:$I$2628,Lang!$L$1+1,FALSE)</f>
        <v>Nefosilní zdroje - bioplyn, solární výroba tepla, biopodpad…</v>
      </c>
    </row>
    <row r="24" spans="1:10" ht="35.25" thickBot="1" x14ac:dyDescent="0.35">
      <c r="A24" s="28"/>
      <c r="B24" s="286" t="str">
        <f>CONCATENATE(A7)</f>
        <v/>
      </c>
      <c r="J24" s="99" t="str">
        <f>VLOOKUP(262,Lang!$A$1:$I$2628,Lang!$L$1+1,FALSE)</f>
        <v>Nefosilní zdroje - elektřina z OZE</v>
      </c>
    </row>
    <row r="25" spans="1:10" x14ac:dyDescent="0.25">
      <c r="A25" s="28"/>
      <c r="J25" s="99" t="str">
        <f>VLOOKUP(263,Lang!$A$1:$I$2628,Lang!$L$1+1,FALSE)</f>
        <v>Mix zdrojů</v>
      </c>
    </row>
    <row r="26" spans="1:10" x14ac:dyDescent="0.25">
      <c r="A26" s="28"/>
    </row>
    <row r="27" spans="1:10" x14ac:dyDescent="0.25">
      <c r="A27" s="28"/>
    </row>
    <row r="28" spans="1:10" x14ac:dyDescent="0.25">
      <c r="A28" s="28"/>
    </row>
    <row r="29" spans="1:10" x14ac:dyDescent="0.25">
      <c r="A29" s="28"/>
    </row>
    <row r="30" spans="1:10" x14ac:dyDescent="0.25">
      <c r="A30" s="28"/>
    </row>
    <row r="31" spans="1:10" x14ac:dyDescent="0.25">
      <c r="A31" s="28"/>
    </row>
    <row r="32" spans="1:10"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sortState ref="H10:I14">
    <sortCondition descending="1" ref="H10"/>
  </sortState>
  <mergeCells count="1">
    <mergeCell ref="E1:F1"/>
  </mergeCells>
  <conditionalFormatting sqref="B17">
    <cfRule type="expression" dxfId="29" priority="10">
      <formula>$B$17=#REF!</formula>
    </cfRule>
    <cfRule type="expression" dxfId="28" priority="11">
      <formula>$B$17=#REF!</formula>
    </cfRule>
    <cfRule type="expression" dxfId="27" priority="12">
      <formula>$B$17=#REF!</formula>
    </cfRule>
    <cfRule type="expression" dxfId="26" priority="13">
      <formula>#REF!=$B$17</formula>
    </cfRule>
    <cfRule type="expression" dxfId="25" priority="14">
      <formula>$B$17=#REF!</formula>
    </cfRule>
  </conditionalFormatting>
  <conditionalFormatting sqref="B23">
    <cfRule type="iconSet" priority="2">
      <iconSet iconSet="3Symbols2">
        <cfvo type="percent" val="0"/>
        <cfvo type="percent" val="33"/>
        <cfvo type="percent" val="67"/>
      </iconSet>
    </cfRule>
  </conditionalFormatting>
  <conditionalFormatting sqref="B24">
    <cfRule type="iconSet" priority="1">
      <iconSet iconSet="3Symbols2">
        <cfvo type="percent" val="0"/>
        <cfvo type="percent" val="33"/>
        <cfvo type="percent" val="67"/>
      </iconSet>
    </cfRule>
  </conditionalFormatting>
  <dataValidations count="1">
    <dataValidation type="list" allowBlank="1" showInputMessage="1" showErrorMessage="1" sqref="A7">
      <formula1>$J$19:$J$25</formula1>
    </dataValidation>
  </dataValidations>
  <hyperlinks>
    <hyperlink ref="A4" location="'B-POP4'!A1" display="'B-POP4'!A1"/>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showGridLines="0" workbookViewId="0">
      <selection activeCell="B7" sqref="B7"/>
    </sheetView>
  </sheetViews>
  <sheetFormatPr defaultRowHeight="15" x14ac:dyDescent="0.25"/>
  <cols>
    <col min="1" max="1" width="39.5703125" style="29" customWidth="1"/>
    <col min="2" max="2" width="58.42578125" customWidth="1"/>
    <col min="3" max="3" width="6.42578125" customWidth="1"/>
    <col min="4" max="4" width="13.28515625" customWidth="1"/>
    <col min="7" max="7" width="9.140625" customWidth="1"/>
    <col min="8" max="9" width="9.140625" hidden="1" customWidth="1"/>
    <col min="10" max="10" width="18.5703125" customWidth="1"/>
    <col min="11" max="11" width="9.140625" customWidth="1"/>
  </cols>
  <sheetData>
    <row r="1" spans="1:9" ht="21" x14ac:dyDescent="0.35">
      <c r="A1" s="84" t="str">
        <f>VLOOKUP(43,Lang!A1:D2628,Lang!L1+1,FALSE)</f>
        <v xml:space="preserve">Identifikace budovy </v>
      </c>
      <c r="E1" s="295" t="str">
        <f>VLOOKUP(129,Lang!A1:D2628,Lang!L1+1,FALSE)</f>
        <v>Navigace</v>
      </c>
      <c r="F1" s="296"/>
    </row>
    <row r="2" spans="1:9" ht="15.75" thickBot="1" x14ac:dyDescent="0.3">
      <c r="A2" s="102"/>
      <c r="E2" s="100"/>
      <c r="F2" s="101"/>
    </row>
    <row r="3" spans="1:9" x14ac:dyDescent="0.25">
      <c r="A3" s="200"/>
    </row>
    <row r="4" spans="1:9" s="139" customFormat="1" ht="60" customHeight="1" x14ac:dyDescent="0.25">
      <c r="A4" s="68" t="str">
        <f>VLOOKUP(131,Lang!A1:D2628,Lang!L1+1,FALSE)</f>
        <v>Identifikace budovy (název či popis budovy; mělo by odpovídat názvu modelu v Klimasken)</v>
      </c>
      <c r="B4" s="154"/>
    </row>
    <row r="5" spans="1:9" s="139" customFormat="1" ht="71.25" customHeight="1" x14ac:dyDescent="0.25">
      <c r="A5" s="68" t="str">
        <f>VLOOKUP(132,Lang!A1:D2628,Lang!L1+1,FALSE)</f>
        <v>Adresa budovy</v>
      </c>
      <c r="B5" s="154"/>
    </row>
    <row r="6" spans="1:9" x14ac:dyDescent="0.25">
      <c r="A6" s="68" t="str">
        <f>VLOOKUP(99,Lang!A2:D2629,Lang!L1+1,FALSE)</f>
        <v>Obec</v>
      </c>
      <c r="B6" s="154"/>
    </row>
    <row r="7" spans="1:9" x14ac:dyDescent="0.25">
      <c r="A7" s="68" t="str">
        <f>VLOOKUP(350,Lang!A$1:D$2630,Lang!L1+1,FALSE)</f>
        <v>Účel budovy</v>
      </c>
      <c r="B7" s="288"/>
      <c r="I7" t="str">
        <f>VLOOKUP(441,Lang!A$1:D$2630,Lang!L$1+1,FALSE)</f>
        <v>Budova pro bydlení</v>
      </c>
    </row>
    <row r="8" spans="1:9" x14ac:dyDescent="0.25">
      <c r="A8" s="68" t="str">
        <f>VLOOKUP(354,Lang!A$1:D$2630,Lang!L1+1,FALSE)</f>
        <v>Rok hodnocení</v>
      </c>
      <c r="B8" s="154"/>
      <c r="I8" t="str">
        <f>VLOOKUP(442,Lang!A$1:D$2630,Lang!L$1+1,FALSE)</f>
        <v>Mateřská základní, střední a vysoká škola</v>
      </c>
    </row>
    <row r="9" spans="1:9" x14ac:dyDescent="0.25">
      <c r="I9" t="str">
        <f>VLOOKUP(443,Lang!A$1:D$2630,Lang!L$1+1,FALSE)</f>
        <v>Nemocnice</v>
      </c>
    </row>
    <row r="10" spans="1:9" x14ac:dyDescent="0.25">
      <c r="I10" t="str">
        <f>VLOOKUP(444,Lang!A$1:D$2630,Lang!L$1+1,FALSE)</f>
        <v>Poliklinika a ambulance</v>
      </c>
    </row>
    <row r="11" spans="1:9" x14ac:dyDescent="0.25">
      <c r="I11" t="str">
        <f>VLOOKUP(445,Lang!A$1:D$2630,Lang!L$1+1,FALSE)</f>
        <v>Úřad a administrativní budova</v>
      </c>
    </row>
    <row r="12" spans="1:9" x14ac:dyDescent="0.25">
      <c r="I12" t="str">
        <f>VLOOKUP(446,Lang!A$1:D$2630,Lang!L$1+1,FALSE)</f>
        <v>Ubytovací zařízení</v>
      </c>
    </row>
    <row r="13" spans="1:9" x14ac:dyDescent="0.25">
      <c r="I13" t="str">
        <f>VLOOKUP(447,Lang!A$1:D$2630,Lang!L$1+1,FALSE)</f>
        <v>Dům seniorů, dětský domov, léčebna</v>
      </c>
    </row>
    <row r="14" spans="1:9" x14ac:dyDescent="0.25">
      <c r="I14" t="str">
        <f>VLOOKUP(448,Lang!A$1:D$2630,Lang!L$1+1,FALSE)</f>
        <v>Ostatní</v>
      </c>
    </row>
  </sheetData>
  <sheetProtection sheet="1" objects="1" scenarios="1"/>
  <mergeCells count="1">
    <mergeCell ref="E1:F1"/>
  </mergeCells>
  <dataValidations count="2">
    <dataValidation type="list" allowBlank="1" showInputMessage="1" showErrorMessage="1" sqref="B7">
      <formula1>$I$7:$I$14</formula1>
    </dataValidation>
    <dataValidation type="whole" allowBlank="1" showInputMessage="1" showErrorMessage="1" error="Interval: min. 1900; max 2100" sqref="B8">
      <formula1>1900</formula1>
      <formula2>2100</formula2>
    </dataValidation>
  </dataValidations>
  <pageMargins left="0.7" right="0.7" top="0.78740157499999996" bottom="0.78740157499999996"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39"/>
  <sheetViews>
    <sheetView showGridLines="0" workbookViewId="0">
      <selection activeCell="A7" sqref="A7"/>
    </sheetView>
  </sheetViews>
  <sheetFormatPr defaultRowHeight="15" x14ac:dyDescent="0.25"/>
  <cols>
    <col min="1" max="1" width="87.5703125" customWidth="1"/>
    <col min="2" max="2" width="24.140625" bestFit="1" customWidth="1"/>
    <col min="3" max="3" width="18.7109375" customWidth="1"/>
    <col min="4" max="4" width="11.5703125" bestFit="1" customWidth="1"/>
    <col min="7" max="7" width="0" hidden="1" customWidth="1"/>
    <col min="8" max="8" width="6.28515625" hidden="1" customWidth="1"/>
    <col min="9" max="9" width="9.7109375" hidden="1" customWidth="1"/>
    <col min="10" max="10" width="12" hidden="1" customWidth="1"/>
    <col min="11" max="11" width="10.85546875" hidden="1" customWidth="1"/>
    <col min="12" max="12" width="15.7109375" hidden="1" customWidth="1"/>
    <col min="13" max="14" width="9.140625" hidden="1" customWidth="1"/>
    <col min="15" max="18" width="0" hidden="1" customWidth="1"/>
  </cols>
  <sheetData>
    <row r="1" spans="1:14" s="139" customFormat="1" ht="28.5" customHeight="1" x14ac:dyDescent="0.25">
      <c r="A1" s="155" t="str">
        <f>VLOOKUP(69,Lang!A1:D2628,Lang!L1+1,FALSE)</f>
        <v>B-EMI2 - Spotřeba tepla v budově – dálkový zdroj</v>
      </c>
      <c r="E1" s="311" t="str">
        <f>VLOOKUP(129,Lang!A1:D2628,Lang!L1+1,FALSE)</f>
        <v>Navigace</v>
      </c>
      <c r="F1" s="312"/>
      <c r="G1" s="188"/>
    </row>
    <row r="2" spans="1:14" ht="28.5" customHeight="1" thickBot="1" x14ac:dyDescent="0.3">
      <c r="A2" s="199" t="str">
        <f>VLOOKUP(130,Lang!A1:D2628,Lang!L1+1,FALSE)</f>
        <v>Metodický list indikátoru</v>
      </c>
      <c r="E2" s="100"/>
      <c r="F2" s="101"/>
      <c r="G2" s="111"/>
    </row>
    <row r="3" spans="1:14" x14ac:dyDescent="0.25">
      <c r="A3" s="28"/>
    </row>
    <row r="4" spans="1:14" s="139" customFormat="1" ht="45" customHeight="1" x14ac:dyDescent="0.25">
      <c r="A4" s="226" t="str">
        <f>VLOOKUP(251,Lang!$A$1:$I$2628,Lang!$L$1+1,FALSE)</f>
        <v>Pro výpočet emisí na osobu bude použita hodnota z indikátoru B-POP4:</v>
      </c>
      <c r="B4" s="189" t="str">
        <f>IF('B-POP4'!B4="",VLOOKUP(252,Lang!$A$1:$I$2628,Lang!$L$1+1,FALSE),'B-POP4'!B4)</f>
        <v>Hodnota v B-POP4 není zadaná, prosím doplňte jí.</v>
      </c>
    </row>
    <row r="5" spans="1:14" x14ac:dyDescent="0.25">
      <c r="A5" s="28"/>
      <c r="B5" s="60" t="str">
        <f>IF('B-POP4'!B4="",VLOOKUP(253,Lang!$A$1:$I$2628,Lang!$L$1+1,FALSE),"")</f>
        <v>při nezadání je dosazena hodnota  1 obyvatel</v>
      </c>
    </row>
    <row r="6" spans="1:14" ht="15.75" thickBot="1" x14ac:dyDescent="0.3">
      <c r="A6" s="121" t="str">
        <f>VLOOKUP(256,Lang!$A$1:$I$2628,Lang!$L$1+1,FALSE)</f>
        <v>Zdroj</v>
      </c>
      <c r="B6" s="122" t="s">
        <v>102</v>
      </c>
    </row>
    <row r="7" spans="1:14" ht="16.5" thickBot="1" x14ac:dyDescent="0.3">
      <c r="A7" s="87"/>
      <c r="B7" s="87"/>
      <c r="H7" s="113" t="s">
        <v>28</v>
      </c>
      <c r="I7" s="114" t="s">
        <v>29</v>
      </c>
      <c r="J7" s="115" t="s">
        <v>30</v>
      </c>
      <c r="K7" s="116" t="s">
        <v>53</v>
      </c>
      <c r="L7" s="117" t="s">
        <v>104</v>
      </c>
      <c r="N7">
        <f>+B7*EF!D3</f>
        <v>0</v>
      </c>
    </row>
    <row r="8" spans="1:14" ht="16.5" hidden="1" thickBot="1" x14ac:dyDescent="0.3">
      <c r="A8" s="61" t="str">
        <f>VLOOKUP(258,Lang!$A$1:$I$2628,Lang!$L$1+1,FALSE)</f>
        <v>Fosilní zdroje - elektřina (běžný mix)</v>
      </c>
      <c r="B8" s="87"/>
      <c r="C8" s="123"/>
      <c r="H8" s="118" t="s">
        <v>105</v>
      </c>
      <c r="I8" s="119" t="s">
        <v>106</v>
      </c>
      <c r="J8" s="119" t="s">
        <v>107</v>
      </c>
      <c r="K8" s="119" t="s">
        <v>108</v>
      </c>
      <c r="L8" s="120" t="s">
        <v>179</v>
      </c>
      <c r="N8">
        <f ca="1">+B8*VLOOKUP('Výběr státu'!$I$34,EF!A12:E30,5,FALSE)</f>
        <v>0</v>
      </c>
    </row>
    <row r="9" spans="1:14" hidden="1" x14ac:dyDescent="0.25">
      <c r="A9" s="61" t="str">
        <f>VLOOKUP(259,Lang!$A$1:$I$2628,Lang!$L$1+1,FALSE)</f>
        <v>Fosilní zdroje - uhlí (černé i hnědé)</v>
      </c>
      <c r="B9" s="87"/>
      <c r="K9">
        <f>IF('B-POP4'!B4="",1,'B-POP4'!B4)</f>
        <v>1</v>
      </c>
      <c r="N9">
        <f>+B9*EF!D4</f>
        <v>0</v>
      </c>
    </row>
    <row r="10" spans="1:14" hidden="1" x14ac:dyDescent="0.25">
      <c r="A10" s="61" t="str">
        <f>VLOOKUP(260,Lang!$A$1:$I$2628,Lang!$L$1+1,FALSE)</f>
        <v>Fosilní zdroje - mazut, topný olej</v>
      </c>
      <c r="B10" s="87"/>
      <c r="H10">
        <v>2401</v>
      </c>
      <c r="I10" t="s">
        <v>104</v>
      </c>
      <c r="J10" t="str">
        <f>IF(C$17&gt;=H10,5,"")</f>
        <v/>
      </c>
      <c r="L10">
        <v>5</v>
      </c>
      <c r="M10" s="132" t="str">
        <f>CONCATENATE("5 (",I10,")")</f>
        <v>5 (E)</v>
      </c>
      <c r="N10">
        <f>+B10*EF!D5</f>
        <v>0</v>
      </c>
    </row>
    <row r="11" spans="1:14" hidden="1" x14ac:dyDescent="0.25">
      <c r="A11" s="68" t="str">
        <f>VLOOKUP(261,Lang!$A$1:$I$2628,Lang!$L$1+1,FALSE)</f>
        <v>Nefosilní zdroje - bioplyn, solární výroba tepla, biopodpad…</v>
      </c>
      <c r="B11" s="87"/>
      <c r="H11">
        <v>2400</v>
      </c>
      <c r="I11" t="s">
        <v>53</v>
      </c>
      <c r="J11">
        <f>IF(C$17&lt;=H11,4,"")</f>
        <v>4</v>
      </c>
      <c r="L11">
        <v>4</v>
      </c>
      <c r="M11" s="132" t="str">
        <f>CONCATENATE("4 (",I11,")")</f>
        <v>4 (D)</v>
      </c>
      <c r="N11">
        <f>+B11*EF!D6</f>
        <v>0</v>
      </c>
    </row>
    <row r="12" spans="1:14" hidden="1" x14ac:dyDescent="0.25">
      <c r="A12" s="61" t="str">
        <f>VLOOKUP(262,Lang!$A$1:$I$2628,Lang!$L$1+1,FALSE)</f>
        <v>Nefosilní zdroje - elektřina z OZE</v>
      </c>
      <c r="B12" s="87"/>
      <c r="H12">
        <v>1800</v>
      </c>
      <c r="I12" t="s">
        <v>30</v>
      </c>
      <c r="J12">
        <f>IF(C$17&lt;=H12,3,"")</f>
        <v>3</v>
      </c>
      <c r="L12">
        <v>3</v>
      </c>
      <c r="M12" s="132" t="str">
        <f>CONCATENATE("3 (",I12,")")</f>
        <v>3 (C)</v>
      </c>
      <c r="N12">
        <v>0</v>
      </c>
    </row>
    <row r="13" spans="1:14" hidden="1" x14ac:dyDescent="0.25">
      <c r="A13" s="61" t="str">
        <f>VLOOKUP(263,Lang!$A$1:$I$2628,Lang!$L$1+1,FALSE)</f>
        <v>Mix zdrojů</v>
      </c>
      <c r="B13" s="87"/>
      <c r="H13">
        <v>1200</v>
      </c>
      <c r="I13" t="s">
        <v>29</v>
      </c>
      <c r="J13">
        <f>IF(C$17&lt;=H13,2,"")</f>
        <v>2</v>
      </c>
      <c r="L13">
        <v>2</v>
      </c>
      <c r="M13" s="132" t="str">
        <f>CONCATENATE("2 (",I13,")")</f>
        <v>2 (B)</v>
      </c>
      <c r="N13">
        <f>+B13*EF!D7</f>
        <v>0</v>
      </c>
    </row>
    <row r="14" spans="1:14" x14ac:dyDescent="0.25">
      <c r="A14" s="236"/>
      <c r="B14" s="237"/>
      <c r="H14">
        <v>600</v>
      </c>
      <c r="I14" t="s">
        <v>28</v>
      </c>
      <c r="J14">
        <f>IF(C$17&lt;=H14,1,"")</f>
        <v>1</v>
      </c>
      <c r="L14">
        <v>1</v>
      </c>
      <c r="M14" s="132" t="str">
        <f>CONCATENATE("1 (",I14,")")</f>
        <v>1 (A)</v>
      </c>
    </row>
    <row r="15" spans="1:14" x14ac:dyDescent="0.25">
      <c r="A15" s="28"/>
      <c r="N15">
        <f ca="1">SUM(N7:N14)</f>
        <v>0</v>
      </c>
    </row>
    <row r="16" spans="1:14" x14ac:dyDescent="0.25">
      <c r="A16" s="28"/>
    </row>
    <row r="17" spans="1:10" ht="18.75" hidden="1" customHeight="1" x14ac:dyDescent="0.3">
      <c r="A17" s="72" t="str">
        <f>VLOOKUP(139,Lang!A1:D2628,Lang!L$1+1,FALSE)</f>
        <v>Hodnota indikátoru</v>
      </c>
      <c r="B17" s="70" t="str">
        <f>IF(SUM(B7:B13)=0,"",CONCATENATE(N15,"  kg CO₂"))</f>
        <v/>
      </c>
    </row>
    <row r="18" spans="1:10" x14ac:dyDescent="0.25">
      <c r="A18" s="28"/>
    </row>
    <row r="19" spans="1:10" x14ac:dyDescent="0.25">
      <c r="A19" s="28"/>
    </row>
    <row r="20" spans="1:10" x14ac:dyDescent="0.25">
      <c r="A20" s="1" t="str">
        <f>IF('Výběr státu'!A9="",CONCATENATE(VLOOKUP(255,Lang!A1:D2628,Lang!L$1+1,FALSE),VLOOKUP(103,Lang!A1:D2628,Lang!L$1+1,FALSE)),CONCATENATE(VLOOKUP(254,Lang!A1:D2628,Lang!L$1+1,FALSE),'Výběr státu'!A9))</f>
        <v>Automaticky zvolená země: Česká republika</v>
      </c>
      <c r="J20" s="99" t="str">
        <f>VLOOKUP(257,Lang!$A$1:$I$2628,Lang!$L$1+1,FALSE)</f>
        <v>Fosilní zdroje - zemní plyn</v>
      </c>
    </row>
    <row r="21" spans="1:10" x14ac:dyDescent="0.25">
      <c r="A21" s="28"/>
      <c r="J21" s="99" t="str">
        <f>VLOOKUP(259,Lang!$A$1:$I$2628,Lang!$L$1+1,FALSE)</f>
        <v>Fosilní zdroje - uhlí (černé i hnědé)</v>
      </c>
    </row>
    <row r="22" spans="1:10" ht="15.75" thickBot="1" x14ac:dyDescent="0.3">
      <c r="A22" s="28"/>
      <c r="J22" s="99" t="str">
        <f>VLOOKUP(260,Lang!$A$1:$I$2628,Lang!$L$1+1,FALSE)</f>
        <v>Fosilní zdroje - mazut, topný olej</v>
      </c>
    </row>
    <row r="23" spans="1:10" ht="18" thickBot="1" x14ac:dyDescent="0.35">
      <c r="A23" s="230" t="str">
        <f>VLOOKUP(268,Lang!A$1:D$2628,Lang!L$1+1,FALSE)</f>
        <v>Hodnota pro vložení do Klimaskenu</v>
      </c>
      <c r="B23" s="238" t="str">
        <f>IF(OR(A7="",SUM(B7:B13)=0),"",MAX(B7:B13))</f>
        <v/>
      </c>
      <c r="J23" s="285" t="str">
        <f>VLOOKUP(261,Lang!$A$1:$I$2628,Lang!$L$1+1,FALSE)</f>
        <v>Nefosilní zdroje - bioplyn, solární výroba tepla, biopodpad…</v>
      </c>
    </row>
    <row r="24" spans="1:10" ht="35.25" thickBot="1" x14ac:dyDescent="0.3">
      <c r="A24" s="28"/>
      <c r="B24" s="287" t="str">
        <f>CONCATENATE(A7)</f>
        <v/>
      </c>
      <c r="J24" s="99" t="str">
        <f>VLOOKUP(263,Lang!$A$1:$I$2628,Lang!$L$1+1,FALSE)</f>
        <v>Mix zdrojů</v>
      </c>
    </row>
    <row r="25" spans="1:10" x14ac:dyDescent="0.25">
      <c r="A25" s="28"/>
      <c r="J25" s="99"/>
    </row>
    <row r="26" spans="1:10" x14ac:dyDescent="0.25">
      <c r="A26" s="28"/>
      <c r="J26" s="99"/>
    </row>
    <row r="27" spans="1:10" x14ac:dyDescent="0.25">
      <c r="A27" s="28"/>
    </row>
    <row r="28" spans="1:10" x14ac:dyDescent="0.25">
      <c r="A28" s="28"/>
    </row>
    <row r="29" spans="1:10" x14ac:dyDescent="0.25">
      <c r="A29" s="28"/>
    </row>
    <row r="30" spans="1:10" x14ac:dyDescent="0.25">
      <c r="A30" s="28"/>
    </row>
    <row r="31" spans="1:10" x14ac:dyDescent="0.25">
      <c r="A31" s="28"/>
    </row>
    <row r="32" spans="1:10"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mergeCells count="1">
    <mergeCell ref="E1:F1"/>
  </mergeCells>
  <conditionalFormatting sqref="B17">
    <cfRule type="expression" dxfId="24" priority="3">
      <formula>$B$17=#REF!</formula>
    </cfRule>
    <cfRule type="expression" dxfId="23" priority="4">
      <formula>$B$17=#REF!</formula>
    </cfRule>
    <cfRule type="expression" dxfId="22" priority="5">
      <formula>$B$17=#REF!</formula>
    </cfRule>
    <cfRule type="expression" dxfId="21" priority="6">
      <formula>#REF!=$B$17</formula>
    </cfRule>
    <cfRule type="expression" dxfId="20" priority="7">
      <formula>$B$17=#REF!</formula>
    </cfRule>
  </conditionalFormatting>
  <conditionalFormatting sqref="B23">
    <cfRule type="iconSet" priority="2">
      <iconSet iconSet="3Symbols2">
        <cfvo type="percent" val="0"/>
        <cfvo type="percent" val="33"/>
        <cfvo type="percent" val="67"/>
      </iconSet>
    </cfRule>
  </conditionalFormatting>
  <conditionalFormatting sqref="B24">
    <cfRule type="iconSet" priority="1">
      <iconSet iconSet="3Symbols2">
        <cfvo type="percent" val="0"/>
        <cfvo type="percent" val="33"/>
        <cfvo type="percent" val="67"/>
      </iconSet>
    </cfRule>
  </conditionalFormatting>
  <dataValidations count="1">
    <dataValidation type="list" allowBlank="1" showInputMessage="1" showErrorMessage="1" sqref="A7">
      <formula1>$J$20:$J$24</formula1>
    </dataValidation>
  </dataValidations>
  <hyperlinks>
    <hyperlink ref="A4" location="'B-POP4'!A1" display="'B-POP4'!A1"/>
  </hyperlinks>
  <pageMargins left="0.7" right="0.7" top="0.78740157499999996" bottom="0.78740157499999996"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M39"/>
  <sheetViews>
    <sheetView showGridLines="0" workbookViewId="0">
      <selection activeCell="B6" sqref="B6"/>
    </sheetView>
  </sheetViews>
  <sheetFormatPr defaultRowHeight="15" x14ac:dyDescent="0.25"/>
  <cols>
    <col min="1" max="1" width="91.140625" bestFit="1" customWidth="1"/>
    <col min="2" max="2" width="27.85546875" customWidth="1"/>
    <col min="3" max="3" width="18.7109375" customWidth="1"/>
    <col min="4" max="4" width="11.5703125" bestFit="1" customWidth="1"/>
    <col min="8" max="12" width="9.140625" hidden="1" customWidth="1"/>
    <col min="13" max="13" width="9.140625" customWidth="1"/>
  </cols>
  <sheetData>
    <row r="1" spans="1:13" s="139" customFormat="1" ht="28.5" customHeight="1" x14ac:dyDescent="0.25">
      <c r="A1" s="155" t="str">
        <f>VLOOKUP(70,Lang!A1:D2628,Lang!L1+1,FALSE)</f>
        <v>B-EMI3 - Spotřeba elektřiny v budově</v>
      </c>
      <c r="E1" s="309" t="str">
        <f>VLOOKUP(129,Lang!A1:D2628,Lang!L1+1,FALSE)</f>
        <v>Navigace</v>
      </c>
      <c r="F1" s="310"/>
      <c r="G1" s="188"/>
    </row>
    <row r="2" spans="1:13" ht="28.5" customHeight="1" thickBot="1" x14ac:dyDescent="0.3">
      <c r="A2" s="199" t="str">
        <f>VLOOKUP(130,Lang!A1:D2628,Lang!L1+1,FALSE)</f>
        <v>Metodický list indikátoru</v>
      </c>
      <c r="E2" s="100"/>
      <c r="F2" s="101"/>
      <c r="G2" s="111"/>
    </row>
    <row r="3" spans="1:13" x14ac:dyDescent="0.25">
      <c r="A3" s="28"/>
    </row>
    <row r="4" spans="1:13" ht="45" customHeight="1" x14ac:dyDescent="0.25">
      <c r="A4" s="226" t="str">
        <f>VLOOKUP(251,Lang!$A$1:$I$2628,Lang!$L$1+1,FALSE)</f>
        <v>Pro výpočet emisí na osobu bude použita hodnota z indikátoru B-POP4:</v>
      </c>
      <c r="B4" s="189" t="str">
        <f>IF('B-POP4'!B4="",VLOOKUP(252,Lang!$A$1:$I$2628,Lang!$L$1+1,FALSE),'B-POP4'!B4)</f>
        <v>Hodnota v B-POP4 není zadaná, prosím doplňte jí.</v>
      </c>
    </row>
    <row r="5" spans="1:13" x14ac:dyDescent="0.25">
      <c r="A5" s="28"/>
      <c r="B5" s="60" t="str">
        <f>IF('B-POP4'!B4="",VLOOKUP(253,Lang!$A$1:$I$2628,Lang!$L$1+1,FALSE),"")</f>
        <v>při nezadání je dosazena hodnota  1 obyvatel</v>
      </c>
    </row>
    <row r="6" spans="1:13" ht="15.75" thickBot="1" x14ac:dyDescent="0.3">
      <c r="A6" s="121" t="str">
        <f>VLOOKUP(256,Lang!$A$1:$I$2628,Lang!$L$1+1,FALSE)</f>
        <v>Zdroj</v>
      </c>
      <c r="B6" s="122" t="s">
        <v>102</v>
      </c>
    </row>
    <row r="7" spans="1:13" ht="16.5" thickBot="1" x14ac:dyDescent="0.3">
      <c r="A7" s="61" t="str">
        <f>VLOOKUP(122,Lang!A1:D2628,Lang!L1+1,FALSE)</f>
        <v>Spotřeba elektřiny v budově</v>
      </c>
      <c r="B7" s="87"/>
      <c r="H7" s="124" t="s">
        <v>28</v>
      </c>
      <c r="I7" s="125" t="s">
        <v>29</v>
      </c>
      <c r="J7" s="126" t="s">
        <v>30</v>
      </c>
      <c r="K7" s="127" t="s">
        <v>53</v>
      </c>
      <c r="L7" s="128" t="s">
        <v>104</v>
      </c>
    </row>
    <row r="8" spans="1:13" ht="16.5" hidden="1" thickBot="1" x14ac:dyDescent="0.3">
      <c r="A8" s="111"/>
      <c r="B8" s="123"/>
      <c r="C8" s="111"/>
      <c r="H8" s="118" t="s">
        <v>109</v>
      </c>
      <c r="I8" s="119" t="s">
        <v>110</v>
      </c>
      <c r="J8" s="119" t="s">
        <v>111</v>
      </c>
      <c r="K8" s="119" t="s">
        <v>112</v>
      </c>
      <c r="L8" s="120" t="s">
        <v>113</v>
      </c>
    </row>
    <row r="9" spans="1:13" hidden="1" x14ac:dyDescent="0.25">
      <c r="A9" s="111"/>
      <c r="B9" s="123"/>
      <c r="C9" s="111"/>
      <c r="K9">
        <f>IF('B-POP4'!B4="",1,'B-POP4'!B4)</f>
        <v>1</v>
      </c>
    </row>
    <row r="10" spans="1:13" hidden="1" x14ac:dyDescent="0.25">
      <c r="A10" s="111"/>
      <c r="B10" s="123"/>
      <c r="C10" s="111"/>
      <c r="H10">
        <v>2001</v>
      </c>
      <c r="I10" t="s">
        <v>104</v>
      </c>
      <c r="J10" t="str">
        <f>IF(C$17&gt;=H10,5,"")</f>
        <v/>
      </c>
      <c r="L10">
        <v>5</v>
      </c>
      <c r="M10" s="132" t="str">
        <f>CONCATENATE("5 (",I10,")")</f>
        <v>5 (E)</v>
      </c>
    </row>
    <row r="11" spans="1:13" hidden="1" x14ac:dyDescent="0.25">
      <c r="A11" s="111"/>
      <c r="B11" s="123"/>
      <c r="C11" s="111"/>
      <c r="H11">
        <v>2000</v>
      </c>
      <c r="I11" t="s">
        <v>53</v>
      </c>
      <c r="J11">
        <f>IF(C$17&lt;=H11,4,"")</f>
        <v>4</v>
      </c>
      <c r="L11">
        <v>4</v>
      </c>
      <c r="M11" s="132" t="str">
        <f>CONCATENATE("4 (",I11,")")</f>
        <v>4 (D)</v>
      </c>
    </row>
    <row r="12" spans="1:13" hidden="1" x14ac:dyDescent="0.25">
      <c r="A12" s="111"/>
      <c r="B12" s="123"/>
      <c r="C12" s="111"/>
      <c r="H12">
        <v>1400</v>
      </c>
      <c r="I12" t="s">
        <v>30</v>
      </c>
      <c r="J12">
        <f>IF(C$17&lt;=H12,3,"")</f>
        <v>3</v>
      </c>
      <c r="L12">
        <v>3</v>
      </c>
      <c r="M12" s="132" t="str">
        <f>CONCATENATE("3 (",I12,")")</f>
        <v>3 (C)</v>
      </c>
    </row>
    <row r="13" spans="1:13" hidden="1" x14ac:dyDescent="0.25">
      <c r="A13" s="111"/>
      <c r="B13" s="123"/>
      <c r="C13" s="111"/>
      <c r="H13">
        <v>800</v>
      </c>
      <c r="I13" t="s">
        <v>29</v>
      </c>
      <c r="J13">
        <f>IF(C$17&lt;=H13,2,"")</f>
        <v>2</v>
      </c>
      <c r="L13">
        <v>2</v>
      </c>
      <c r="M13" s="132" t="str">
        <f>CONCATENATE("2 (",I13,")")</f>
        <v>2 (B)</v>
      </c>
    </row>
    <row r="14" spans="1:13" hidden="1" x14ac:dyDescent="0.25">
      <c r="A14" s="28"/>
      <c r="H14">
        <v>400</v>
      </c>
      <c r="I14" t="s">
        <v>28</v>
      </c>
      <c r="J14">
        <f>IF(C$17&lt;=H14,1,"")</f>
        <v>1</v>
      </c>
      <c r="L14">
        <v>1</v>
      </c>
      <c r="M14" s="132" t="str">
        <f>CONCATENATE("1 (",I14,")")</f>
        <v>1 (A)</v>
      </c>
    </row>
    <row r="15" spans="1:13" hidden="1" x14ac:dyDescent="0.25">
      <c r="A15" s="28"/>
    </row>
    <row r="16" spans="1:13" x14ac:dyDescent="0.25">
      <c r="A16" s="28"/>
    </row>
    <row r="17" spans="1:5" ht="18.75" hidden="1" x14ac:dyDescent="0.3">
      <c r="A17" s="72" t="str">
        <f>VLOOKUP(139,Lang!A1:D2628,Lang!L$1+1,FALSE)</f>
        <v>Hodnota indikátoru</v>
      </c>
      <c r="B17" s="70" t="str">
        <f ca="1">CONCATENATE(VLOOKUP('Výběr státu'!$I$34,EF!A12:E30,5,FALSE)*B7," kg CO₂")</f>
        <v>0 kg CO₂</v>
      </c>
    </row>
    <row r="18" spans="1:5" x14ac:dyDescent="0.25">
      <c r="A18" s="28"/>
    </row>
    <row r="19" spans="1:5" x14ac:dyDescent="0.25">
      <c r="A19" s="28"/>
    </row>
    <row r="20" spans="1:5" x14ac:dyDescent="0.25">
      <c r="A20" s="1" t="str">
        <f>IF('Výběr státu'!A9="",CONCATENATE(VLOOKUP(255,Lang!A1:D2628,Lang!L$1+1,FALSE),VLOOKUP(103,Lang!A1:D2628,Lang!L$1+1,FALSE)),CONCATENATE(VLOOKUP(254,Lang!A1:D2628,Lang!L$1+1,FALSE),'Výběr státu'!A9))</f>
        <v>Automaticky zvolená země: Česká republika</v>
      </c>
    </row>
    <row r="21" spans="1:5" x14ac:dyDescent="0.25">
      <c r="A21" s="28"/>
    </row>
    <row r="22" spans="1:5" ht="15.75" thickBot="1" x14ac:dyDescent="0.3">
      <c r="A22" s="28"/>
    </row>
    <row r="23" spans="1:5" ht="18" thickBot="1" x14ac:dyDescent="0.35">
      <c r="A23" s="230" t="str">
        <f>VLOOKUP(268,Lang!A$1:D$2628,Lang!L$1+1,FALSE)</f>
        <v>Hodnota pro vložení do Klimaskenu</v>
      </c>
      <c r="B23" s="238" t="str">
        <f>IF(ISNUMBER(B7),ROUND(B7,1),"")</f>
        <v/>
      </c>
    </row>
    <row r="24" spans="1:5" x14ac:dyDescent="0.25">
      <c r="A24" s="28"/>
    </row>
    <row r="25" spans="1:5" x14ac:dyDescent="0.25">
      <c r="A25" s="28"/>
    </row>
    <row r="26" spans="1:5" x14ac:dyDescent="0.25">
      <c r="A26" s="28"/>
    </row>
    <row r="27" spans="1:5" x14ac:dyDescent="0.25">
      <c r="A27" s="28"/>
    </row>
    <row r="28" spans="1:5" x14ac:dyDescent="0.25">
      <c r="A28" s="28"/>
      <c r="E28" s="229" t="s">
        <v>1174</v>
      </c>
    </row>
    <row r="29" spans="1:5" x14ac:dyDescent="0.25">
      <c r="A29" s="28"/>
    </row>
    <row r="30" spans="1:5" x14ac:dyDescent="0.25">
      <c r="A30" s="28"/>
    </row>
    <row r="31" spans="1:5" x14ac:dyDescent="0.25">
      <c r="A31" s="28"/>
    </row>
    <row r="32" spans="1:5"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mergeCells count="1">
    <mergeCell ref="E1:F1"/>
  </mergeCells>
  <conditionalFormatting sqref="B17">
    <cfRule type="expression" dxfId="19" priority="2">
      <formula>$B$17=#REF!</formula>
    </cfRule>
    <cfRule type="expression" dxfId="18" priority="3">
      <formula>$B$17=#REF!</formula>
    </cfRule>
    <cfRule type="expression" dxfId="17" priority="4">
      <formula>$B$17=#REF!</formula>
    </cfRule>
    <cfRule type="expression" dxfId="16" priority="5">
      <formula>#REF!=$B$17</formula>
    </cfRule>
    <cfRule type="expression" dxfId="15" priority="6">
      <formula>$B$17=#REF!</formula>
    </cfRule>
  </conditionalFormatting>
  <conditionalFormatting sqref="B23">
    <cfRule type="iconSet" priority="1">
      <iconSet iconSet="3Symbols2">
        <cfvo type="percent" val="0"/>
        <cfvo type="percent" val="33"/>
        <cfvo type="percent" val="67"/>
      </iconSet>
    </cfRule>
  </conditionalFormatting>
  <hyperlinks>
    <hyperlink ref="A4" location="'B-POP4'!A1" display="'B-POP4'!A1"/>
  </hyperlinks>
  <pageMargins left="0.7" right="0.7" top="0.78740157499999996" bottom="0.78740157499999996" header="0.3" footer="0.3"/>
  <pageSetup paperSize="9"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M39"/>
  <sheetViews>
    <sheetView showGridLines="0" workbookViewId="0">
      <selection activeCell="B7" sqref="B7"/>
    </sheetView>
  </sheetViews>
  <sheetFormatPr defaultRowHeight="15" x14ac:dyDescent="0.25"/>
  <cols>
    <col min="1" max="1" width="105" bestFit="1" customWidth="1"/>
    <col min="2" max="2" width="24.140625" bestFit="1" customWidth="1"/>
    <col min="3" max="3" width="18.7109375" customWidth="1"/>
    <col min="4" max="4" width="11.5703125" bestFit="1" customWidth="1"/>
    <col min="8" max="13" width="9.140625" hidden="1" customWidth="1"/>
  </cols>
  <sheetData>
    <row r="1" spans="1:13" ht="28.5" customHeight="1" x14ac:dyDescent="0.35">
      <c r="A1" s="83" t="str">
        <f>VLOOKUP(71,Lang!A1:D2628,Lang!L1+1,FALSE)</f>
        <v>B-EMI4 Výroba elektřiny v budově z OZE</v>
      </c>
      <c r="E1" s="295" t="str">
        <f>VLOOKUP(129,Lang!A1:D2628,Lang!L1+1,FALSE)</f>
        <v>Navigace</v>
      </c>
      <c r="F1" s="296"/>
      <c r="G1" s="112"/>
    </row>
    <row r="2" spans="1:13" ht="28.5" customHeight="1" thickBot="1" x14ac:dyDescent="0.3">
      <c r="A2" s="199" t="str">
        <f>VLOOKUP(130,Lang!A1:D2628,Lang!L1+1,FALSE)</f>
        <v>Metodický list indikátoru</v>
      </c>
      <c r="E2" s="100"/>
      <c r="F2" s="101"/>
      <c r="G2" s="111"/>
    </row>
    <row r="3" spans="1:13" x14ac:dyDescent="0.25">
      <c r="A3" s="28"/>
    </row>
    <row r="4" spans="1:13" x14ac:dyDescent="0.25">
      <c r="A4" s="226" t="str">
        <f>VLOOKUP(251,Lang!$A$1:$I$2628,Lang!$L$1+1,FALSE)</f>
        <v>Pro výpočet emisí na osobu bude použita hodnota z indikátoru B-POP4:</v>
      </c>
      <c r="B4" s="60" t="str">
        <f>IF('B-POP4'!B4="",VLOOKUP(252,Lang!$A$1:$I$2628,Lang!$L$1+1,FALSE),'B-POP4'!B4)</f>
        <v>Hodnota v B-POP4 není zadaná, prosím doplňte jí.</v>
      </c>
    </row>
    <row r="5" spans="1:13" x14ac:dyDescent="0.25">
      <c r="A5" s="28"/>
      <c r="B5" s="60" t="str">
        <f>IF('B-POP4'!B4="",VLOOKUP(253,Lang!$A$1:$I$2628,Lang!$L$1+1,FALSE),"")</f>
        <v>při nezadání je dosazena hodnota  1 obyvatel</v>
      </c>
    </row>
    <row r="6" spans="1:13" ht="15.75" thickBot="1" x14ac:dyDescent="0.3">
      <c r="A6" s="121" t="str">
        <f>VLOOKUP(256,Lang!$A$1:$I$2628,Lang!$L$1+1,FALSE)</f>
        <v>Zdroj</v>
      </c>
      <c r="B6" s="122" t="s">
        <v>102</v>
      </c>
    </row>
    <row r="7" spans="1:13" ht="16.5" thickBot="1" x14ac:dyDescent="0.3">
      <c r="A7" s="61" t="str">
        <f>VLOOKUP(125,Lang!$A$1:$I$2628,Lang!$L$1+1,FALSE)</f>
        <v>Výroba elektřiny v budově z OZE</v>
      </c>
      <c r="B7" s="87"/>
      <c r="H7" s="124" t="s">
        <v>28</v>
      </c>
      <c r="I7" s="125" t="s">
        <v>29</v>
      </c>
      <c r="J7" s="126" t="s">
        <v>30</v>
      </c>
      <c r="K7" s="127" t="s">
        <v>53</v>
      </c>
      <c r="L7" s="128" t="s">
        <v>104</v>
      </c>
    </row>
    <row r="8" spans="1:13" ht="32.25" hidden="1" thickBot="1" x14ac:dyDescent="0.3">
      <c r="A8" s="111"/>
      <c r="B8" s="123"/>
      <c r="C8" s="111"/>
      <c r="H8" s="130" t="s">
        <v>114</v>
      </c>
      <c r="I8" s="131" t="s">
        <v>115</v>
      </c>
      <c r="J8" s="131" t="s">
        <v>116</v>
      </c>
      <c r="K8" s="131" t="s">
        <v>117</v>
      </c>
      <c r="L8" s="129">
        <v>0</v>
      </c>
    </row>
    <row r="9" spans="1:13" hidden="1" x14ac:dyDescent="0.25">
      <c r="A9" s="111"/>
      <c r="B9" s="123"/>
      <c r="C9" s="111"/>
      <c r="K9">
        <f>IF('B-POP4'!B4="",1,'B-POP4'!B4)</f>
        <v>1</v>
      </c>
    </row>
    <row r="10" spans="1:13" hidden="1" x14ac:dyDescent="0.25">
      <c r="A10" s="111"/>
      <c r="B10" s="123"/>
      <c r="C10" s="111"/>
      <c r="H10">
        <v>601</v>
      </c>
      <c r="I10" t="s">
        <v>28</v>
      </c>
      <c r="J10" t="str">
        <f>IF(C$17&gt;=H10,5,"")</f>
        <v/>
      </c>
      <c r="L10">
        <v>5</v>
      </c>
      <c r="M10" t="s">
        <v>6</v>
      </c>
    </row>
    <row r="11" spans="1:13" hidden="1" x14ac:dyDescent="0.25">
      <c r="A11" s="111"/>
      <c r="B11" s="123"/>
      <c r="C11" s="111"/>
      <c r="H11">
        <v>600</v>
      </c>
      <c r="I11" t="s">
        <v>29</v>
      </c>
      <c r="J11">
        <f>IF(C$17&lt;=H11,4,"")</f>
        <v>4</v>
      </c>
      <c r="L11">
        <v>4</v>
      </c>
      <c r="M11" t="s">
        <v>5</v>
      </c>
    </row>
    <row r="12" spans="1:13" hidden="1" x14ac:dyDescent="0.25">
      <c r="A12" s="111"/>
      <c r="B12" s="123"/>
      <c r="C12" s="111"/>
      <c r="H12">
        <v>400</v>
      </c>
      <c r="I12" t="s">
        <v>30</v>
      </c>
      <c r="J12">
        <f>IF(C$17&lt;=H12,3,"")</f>
        <v>3</v>
      </c>
      <c r="L12">
        <v>3</v>
      </c>
      <c r="M12" t="s">
        <v>130</v>
      </c>
    </row>
    <row r="13" spans="1:13" hidden="1" x14ac:dyDescent="0.25">
      <c r="A13" s="111"/>
      <c r="B13" s="123"/>
      <c r="C13" s="111"/>
      <c r="H13">
        <v>200</v>
      </c>
      <c r="I13" t="s">
        <v>53</v>
      </c>
      <c r="J13">
        <f>IF(C$17&lt;=H13,2,"")</f>
        <v>2</v>
      </c>
      <c r="L13">
        <v>2</v>
      </c>
      <c r="M13" t="s">
        <v>3</v>
      </c>
    </row>
    <row r="14" spans="1:13" hidden="1" x14ac:dyDescent="0.25">
      <c r="A14" s="28"/>
      <c r="H14">
        <v>0</v>
      </c>
      <c r="I14" t="s">
        <v>104</v>
      </c>
      <c r="J14">
        <f>IF(C$17&lt;=H14,1,"")</f>
        <v>1</v>
      </c>
      <c r="L14">
        <v>1</v>
      </c>
      <c r="M14" t="s">
        <v>2</v>
      </c>
    </row>
    <row r="15" spans="1:13" x14ac:dyDescent="0.25">
      <c r="A15" s="28"/>
    </row>
    <row r="16" spans="1:13" x14ac:dyDescent="0.25">
      <c r="A16" s="28"/>
    </row>
    <row r="17" spans="1:3" ht="18.75" hidden="1" x14ac:dyDescent="0.3">
      <c r="A17" s="72" t="str">
        <f>VLOOKUP(139,Lang!A1:D2628,Lang!L$1+1,FALSE)</f>
        <v>Hodnota indikátoru</v>
      </c>
      <c r="B17" s="70">
        <f>IF(B7="",C17,VLOOKUP(MIN(J10:J14),L10:M14,2,FALSE))</f>
        <v>0</v>
      </c>
      <c r="C17" s="133"/>
    </row>
    <row r="18" spans="1:3" x14ac:dyDescent="0.25">
      <c r="A18" s="28"/>
    </row>
    <row r="19" spans="1:3" x14ac:dyDescent="0.25">
      <c r="A19" s="28"/>
    </row>
    <row r="20" spans="1:3" x14ac:dyDescent="0.25">
      <c r="A20" s="1" t="str">
        <f>IF('Výběr státu'!A9="",CONCATENATE(VLOOKUP(255,Lang!A1:D2628,Lang!L$1+1,FALSE),VLOOKUP(103,Lang!A1:D2628,Lang!L$1+1,FALSE)),CONCATENATE(VLOOKUP(254,Lang!A1:D2628,Lang!L$1+1,FALSE),'Výběr státu'!A9))</f>
        <v>Automaticky zvolená země: Česká republika</v>
      </c>
    </row>
    <row r="21" spans="1:3" x14ac:dyDescent="0.25">
      <c r="A21" s="28"/>
    </row>
    <row r="22" spans="1:3" ht="15.75" thickBot="1" x14ac:dyDescent="0.3">
      <c r="A22" s="28"/>
    </row>
    <row r="23" spans="1:3" ht="18" thickBot="1" x14ac:dyDescent="0.35">
      <c r="A23" s="230" t="str">
        <f>VLOOKUP(268,Lang!A$1:D$2628,Lang!L$1+1,FALSE)</f>
        <v>Hodnota pro vložení do Klimaskenu</v>
      </c>
      <c r="B23" s="238" t="str">
        <f>IF(ISNUMBER(B7),ROUND(B7,1),"")</f>
        <v/>
      </c>
    </row>
    <row r="24" spans="1:3" x14ac:dyDescent="0.25">
      <c r="A24" s="28"/>
    </row>
    <row r="25" spans="1:3" x14ac:dyDescent="0.25">
      <c r="A25" s="28"/>
    </row>
    <row r="26" spans="1:3" x14ac:dyDescent="0.25">
      <c r="A26" s="28"/>
    </row>
    <row r="27" spans="1:3" x14ac:dyDescent="0.25">
      <c r="A27" s="28"/>
    </row>
    <row r="28" spans="1:3" x14ac:dyDescent="0.25">
      <c r="A28" s="28"/>
    </row>
    <row r="29" spans="1:3" x14ac:dyDescent="0.25">
      <c r="A29" s="28"/>
    </row>
    <row r="30" spans="1:3" x14ac:dyDescent="0.25">
      <c r="A30" s="28"/>
    </row>
    <row r="31" spans="1:3" x14ac:dyDescent="0.25">
      <c r="A31" s="28"/>
    </row>
    <row r="32" spans="1:3"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mergeCells count="1">
    <mergeCell ref="E1:F1"/>
  </mergeCells>
  <conditionalFormatting sqref="B17">
    <cfRule type="expression" dxfId="14" priority="2">
      <formula>$B$17=#REF!</formula>
    </cfRule>
    <cfRule type="expression" dxfId="13" priority="3">
      <formula>$B$17=#REF!</formula>
    </cfRule>
    <cfRule type="expression" dxfId="12" priority="4">
      <formula>$B$17=#REF!</formula>
    </cfRule>
    <cfRule type="expression" dxfId="11" priority="5">
      <formula>#REF!=$B$17</formula>
    </cfRule>
    <cfRule type="expression" dxfId="10" priority="6">
      <formula>$B$17=#REF!</formula>
    </cfRule>
  </conditionalFormatting>
  <conditionalFormatting sqref="B23">
    <cfRule type="iconSet" priority="1">
      <iconSet iconSet="3Symbols2">
        <cfvo type="percent" val="0"/>
        <cfvo type="percent" val="33"/>
        <cfvo type="percent" val="67"/>
      </iconSet>
    </cfRule>
  </conditionalFormatting>
  <hyperlinks>
    <hyperlink ref="A4" location="'B-POP4'!A1" display="'B-POP4'!A1"/>
  </hyperlinks>
  <pageMargins left="0.7" right="0.7" top="0.78740157499999996" bottom="0.78740157499999996"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39"/>
  <sheetViews>
    <sheetView showGridLines="0" workbookViewId="0">
      <selection activeCell="B6" sqref="B6"/>
    </sheetView>
  </sheetViews>
  <sheetFormatPr defaultRowHeight="15" x14ac:dyDescent="0.25"/>
  <cols>
    <col min="1" max="1" width="80.140625" bestFit="1" customWidth="1"/>
    <col min="2" max="2" width="24.140625" bestFit="1" customWidth="1"/>
    <col min="3" max="3" width="18.7109375" customWidth="1"/>
    <col min="4" max="4" width="11.5703125" bestFit="1" customWidth="1"/>
    <col min="7" max="7" width="0" hidden="1" customWidth="1"/>
    <col min="8" max="14" width="9.140625" hidden="1" customWidth="1"/>
  </cols>
  <sheetData>
    <row r="1" spans="1:13" s="139" customFormat="1" ht="28.5" customHeight="1" x14ac:dyDescent="0.25">
      <c r="A1" s="155" t="str">
        <f>VLOOKUP(72,Lang!A1:D2628,Lang!L1+1,FALSE)</f>
        <v xml:space="preserve">B-EMI5 - Produkce tuhého komunálního odpadu v budově                           </v>
      </c>
      <c r="E1" s="309" t="str">
        <f>VLOOKUP(129,Lang!A1:D2628,Lang!L1+1,FALSE)</f>
        <v>Navigace</v>
      </c>
      <c r="F1" s="310"/>
      <c r="G1" s="188"/>
    </row>
    <row r="2" spans="1:13" ht="28.5" customHeight="1" thickBot="1" x14ac:dyDescent="0.3">
      <c r="A2" s="199" t="str">
        <f>VLOOKUP(130,Lang!A1:D2628,Lang!L1+1,FALSE)</f>
        <v>Metodický list indikátoru</v>
      </c>
      <c r="E2" s="100"/>
      <c r="F2" s="101"/>
      <c r="G2" s="111"/>
    </row>
    <row r="3" spans="1:13" x14ac:dyDescent="0.25">
      <c r="A3" s="28"/>
    </row>
    <row r="4" spans="1:13" x14ac:dyDescent="0.25">
      <c r="A4" s="226" t="str">
        <f>VLOOKUP(251,Lang!$A$1:$I$2628,Lang!$L$1+1,FALSE)</f>
        <v>Pro výpočet emisí na osobu bude použita hodnota z indikátoru B-POP4:</v>
      </c>
      <c r="B4" s="60" t="str">
        <f>IF('B-POP4'!B4="",VLOOKUP(252,Lang!$A$1:$I$2628,Lang!$L$1+1,FALSE),'B-POP4'!B4)</f>
        <v>Hodnota v B-POP4 není zadaná, prosím doplňte jí.</v>
      </c>
    </row>
    <row r="5" spans="1:13" x14ac:dyDescent="0.25">
      <c r="A5" s="28"/>
      <c r="B5" s="60" t="str">
        <f>IF('B-POP4'!B4="",VLOOKUP(253,Lang!$A$1:$I$2628,Lang!$L$1+1,FALSE),"")</f>
        <v>při nezadání je dosazena hodnota  1 obyvatel</v>
      </c>
    </row>
    <row r="6" spans="1:13" ht="15.75" thickBot="1" x14ac:dyDescent="0.3">
      <c r="A6" s="121" t="str">
        <f>VLOOKUP(256,Lang!$A$1:$I$2628,Lang!$L$1+1,FALSE)</f>
        <v>Zdroj</v>
      </c>
      <c r="B6" s="122" t="s">
        <v>118</v>
      </c>
    </row>
    <row r="7" spans="1:13" ht="16.5" thickBot="1" x14ac:dyDescent="0.3">
      <c r="A7" s="61" t="str">
        <f>VLOOKUP(123,Lang!$A$1:$I$2628,Lang!$L$1+1,FALSE)</f>
        <v>Produkce TKO v tunách</v>
      </c>
      <c r="B7" s="87"/>
      <c r="H7" s="124" t="s">
        <v>28</v>
      </c>
      <c r="I7" s="125" t="s">
        <v>29</v>
      </c>
      <c r="J7" s="126" t="s">
        <v>30</v>
      </c>
      <c r="K7" s="127" t="s">
        <v>53</v>
      </c>
      <c r="L7" s="128" t="s">
        <v>104</v>
      </c>
    </row>
    <row r="8" spans="1:13" ht="16.5" hidden="1" thickBot="1" x14ac:dyDescent="0.3">
      <c r="A8" s="111"/>
      <c r="B8" s="123"/>
      <c r="C8" s="111"/>
      <c r="H8" s="118" t="s">
        <v>119</v>
      </c>
      <c r="I8" s="119" t="s">
        <v>120</v>
      </c>
      <c r="J8" s="119" t="s">
        <v>121</v>
      </c>
      <c r="K8" s="119" t="s">
        <v>122</v>
      </c>
      <c r="L8" s="120" t="s">
        <v>123</v>
      </c>
    </row>
    <row r="9" spans="1:13" hidden="1" x14ac:dyDescent="0.25">
      <c r="A9" s="111"/>
      <c r="B9" s="123"/>
      <c r="C9" s="111"/>
      <c r="K9">
        <f>IF('B-POP4'!B4="",1,'B-POP4'!B4)</f>
        <v>1</v>
      </c>
    </row>
    <row r="10" spans="1:13" hidden="1" x14ac:dyDescent="0.25">
      <c r="A10" s="111"/>
      <c r="B10" s="123"/>
      <c r="C10" s="111"/>
      <c r="H10">
        <v>201</v>
      </c>
      <c r="I10" t="s">
        <v>104</v>
      </c>
      <c r="J10" t="str">
        <f>IF(C$17&gt;=H10,5,"")</f>
        <v/>
      </c>
      <c r="L10">
        <v>5</v>
      </c>
      <c r="M10" s="132" t="str">
        <f>CONCATENATE("5 (",I10,")")</f>
        <v>5 (E)</v>
      </c>
    </row>
    <row r="11" spans="1:13" hidden="1" x14ac:dyDescent="0.25">
      <c r="A11" s="111"/>
      <c r="B11" s="123"/>
      <c r="C11" s="111"/>
      <c r="H11">
        <v>200</v>
      </c>
      <c r="I11" t="s">
        <v>53</v>
      </c>
      <c r="J11">
        <f>IF(C$17&lt;=H11,4,"")</f>
        <v>4</v>
      </c>
      <c r="L11">
        <v>4</v>
      </c>
      <c r="M11" s="132" t="str">
        <f>CONCATENATE("4 (",I11,")")</f>
        <v>4 (D)</v>
      </c>
    </row>
    <row r="12" spans="1:13" hidden="1" x14ac:dyDescent="0.25">
      <c r="A12" s="111"/>
      <c r="B12" s="123"/>
      <c r="C12" s="111"/>
      <c r="H12">
        <v>150</v>
      </c>
      <c r="I12" t="s">
        <v>30</v>
      </c>
      <c r="J12">
        <f>IF(C$17&lt;=H12,3,"")</f>
        <v>3</v>
      </c>
      <c r="L12">
        <v>3</v>
      </c>
      <c r="M12" s="132" t="str">
        <f>CONCATENATE("3 (",I12,")")</f>
        <v>3 (C)</v>
      </c>
    </row>
    <row r="13" spans="1:13" hidden="1" x14ac:dyDescent="0.25">
      <c r="A13" s="111"/>
      <c r="B13" s="123"/>
      <c r="C13" s="111"/>
      <c r="H13">
        <v>100</v>
      </c>
      <c r="I13" t="s">
        <v>29</v>
      </c>
      <c r="J13">
        <f>IF(C$17&lt;=H13,2,"")</f>
        <v>2</v>
      </c>
      <c r="L13">
        <v>2</v>
      </c>
      <c r="M13" s="132" t="str">
        <f>CONCATENATE("2 (",I13,")")</f>
        <v>2 (B)</v>
      </c>
    </row>
    <row r="14" spans="1:13" hidden="1" x14ac:dyDescent="0.25">
      <c r="A14" s="28"/>
      <c r="H14">
        <v>50</v>
      </c>
      <c r="I14" t="s">
        <v>28</v>
      </c>
      <c r="J14">
        <f>IF(C$17&lt;=H14,1,"")</f>
        <v>1</v>
      </c>
      <c r="L14">
        <v>1</v>
      </c>
      <c r="M14" s="132" t="str">
        <f>CONCATENATE("1 (",I14,")")</f>
        <v>1 (A)</v>
      </c>
    </row>
    <row r="15" spans="1:13" hidden="1" x14ac:dyDescent="0.25">
      <c r="A15" s="28"/>
    </row>
    <row r="16" spans="1:13" x14ac:dyDescent="0.25">
      <c r="A16" s="28"/>
    </row>
    <row r="17" spans="1:3" ht="18.75" hidden="1" x14ac:dyDescent="0.3">
      <c r="A17" s="72" t="str">
        <f>VLOOKUP(139,Lang!A1:D2628,Lang!L$1+1,FALSE)</f>
        <v>Hodnota indikátoru</v>
      </c>
      <c r="B17" s="70"/>
      <c r="C17" s="133"/>
    </row>
    <row r="18" spans="1:3" x14ac:dyDescent="0.25">
      <c r="A18" s="28"/>
    </row>
    <row r="19" spans="1:3" x14ac:dyDescent="0.25">
      <c r="A19" s="28"/>
    </row>
    <row r="20" spans="1:3" x14ac:dyDescent="0.25">
      <c r="A20" s="1" t="str">
        <f>IF('Výběr státu'!A9="",CONCATENATE(VLOOKUP(255,Lang!A1:D2628,Lang!L$1+1,FALSE),VLOOKUP(103,Lang!A1:D2628,Lang!L$1+1,FALSE)),CONCATENATE(VLOOKUP(254,Lang!A1:D2628,Lang!L$1+1,FALSE),'Výběr státu'!A9))</f>
        <v>Automaticky zvolená země: Česká republika</v>
      </c>
    </row>
    <row r="21" spans="1:3" x14ac:dyDescent="0.25">
      <c r="A21" s="28"/>
    </row>
    <row r="22" spans="1:3" ht="15.75" thickBot="1" x14ac:dyDescent="0.3">
      <c r="A22" s="28"/>
    </row>
    <row r="23" spans="1:3" ht="18" thickBot="1" x14ac:dyDescent="0.35">
      <c r="A23" s="230" t="str">
        <f>VLOOKUP(268,Lang!A$1:D$2628,Lang!L$1+1,FALSE)</f>
        <v>Hodnota pro vložení do Klimaskenu</v>
      </c>
      <c r="B23" s="238" t="str">
        <f>IF(ISNUMBER(B7),ROUND(B7*1000,1),"")</f>
        <v/>
      </c>
    </row>
    <row r="24" spans="1:3" x14ac:dyDescent="0.25">
      <c r="A24" s="28"/>
    </row>
    <row r="25" spans="1:3" x14ac:dyDescent="0.25">
      <c r="A25" s="28"/>
    </row>
    <row r="26" spans="1:3" x14ac:dyDescent="0.25">
      <c r="A26" s="28"/>
    </row>
    <row r="27" spans="1:3" x14ac:dyDescent="0.25">
      <c r="A27" s="28"/>
    </row>
    <row r="28" spans="1:3" x14ac:dyDescent="0.25">
      <c r="A28" s="28"/>
    </row>
    <row r="29" spans="1:3" x14ac:dyDescent="0.25">
      <c r="A29" s="28"/>
    </row>
    <row r="30" spans="1:3" x14ac:dyDescent="0.25">
      <c r="A30" s="28"/>
    </row>
    <row r="31" spans="1:3" x14ac:dyDescent="0.25">
      <c r="A31" s="28"/>
    </row>
    <row r="32" spans="1:3"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mergeCells count="1">
    <mergeCell ref="E1:F1"/>
  </mergeCells>
  <conditionalFormatting sqref="B17">
    <cfRule type="expression" dxfId="9" priority="2">
      <formula>$B$17=#REF!</formula>
    </cfRule>
    <cfRule type="expression" dxfId="8" priority="3">
      <formula>$B$17=#REF!</formula>
    </cfRule>
    <cfRule type="expression" dxfId="7" priority="4">
      <formula>$B$17=#REF!</formula>
    </cfRule>
    <cfRule type="expression" dxfId="6" priority="5">
      <formula>#REF!=$B$17</formula>
    </cfRule>
    <cfRule type="expression" dxfId="5" priority="6">
      <formula>$B$17=#REF!</formula>
    </cfRule>
  </conditionalFormatting>
  <conditionalFormatting sqref="B23">
    <cfRule type="iconSet" priority="1">
      <iconSet iconSet="3Symbols2">
        <cfvo type="percent" val="0"/>
        <cfvo type="percent" val="33"/>
        <cfvo type="percent" val="67"/>
      </iconSet>
    </cfRule>
  </conditionalFormatting>
  <hyperlinks>
    <hyperlink ref="A4" location="'B-POP4'!A1" display="'B-POP4'!A1"/>
  </hyperlinks>
  <pageMargins left="0.7" right="0.7" top="0.78740157499999996" bottom="0.78740157499999996"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39"/>
  <sheetViews>
    <sheetView showGridLines="0" workbookViewId="0">
      <selection activeCell="B23" sqref="B23"/>
    </sheetView>
  </sheetViews>
  <sheetFormatPr defaultRowHeight="15" x14ac:dyDescent="0.25"/>
  <cols>
    <col min="1" max="1" width="96.5703125" bestFit="1" customWidth="1"/>
    <col min="2" max="2" width="24.140625" bestFit="1" customWidth="1"/>
    <col min="3" max="3" width="18.7109375" customWidth="1"/>
    <col min="4" max="4" width="11.5703125" bestFit="1" customWidth="1"/>
    <col min="7" max="7" width="0" hidden="1" customWidth="1"/>
    <col min="8" max="8" width="5.140625" hidden="1" customWidth="1"/>
    <col min="9" max="9" width="7.42578125" hidden="1" customWidth="1"/>
    <col min="10" max="10" width="17.42578125" hidden="1" customWidth="1"/>
    <col min="11" max="11" width="8.5703125" hidden="1" customWidth="1"/>
    <col min="12" max="12" width="14.5703125" hidden="1" customWidth="1"/>
    <col min="13" max="14" width="9.140625" hidden="1" customWidth="1"/>
    <col min="15" max="19" width="9.140625" customWidth="1"/>
  </cols>
  <sheetData>
    <row r="1" spans="1:13" s="139" customFormat="1" ht="28.5" customHeight="1" x14ac:dyDescent="0.25">
      <c r="A1" s="155" t="str">
        <f>VLOOKUP(73,Lang!A1:D2628,Lang!L1+1,FALSE)</f>
        <v>B-EMI6 - Produkce odpadní vody v budově</v>
      </c>
      <c r="E1" s="309" t="str">
        <f>VLOOKUP(129,Lang!A1:D2628,Lang!L1+1,FALSE)</f>
        <v>Navigace</v>
      </c>
      <c r="F1" s="310"/>
      <c r="G1" s="188"/>
    </row>
    <row r="2" spans="1:13" ht="28.5" customHeight="1" thickBot="1" x14ac:dyDescent="0.3">
      <c r="A2" s="199" t="str">
        <f>VLOOKUP(130,Lang!A1:D2628,Lang!L1+1,FALSE)</f>
        <v>Metodický list indikátoru</v>
      </c>
      <c r="E2" s="100"/>
      <c r="F2" s="101"/>
      <c r="G2" s="111"/>
    </row>
    <row r="3" spans="1:13" x14ac:dyDescent="0.25">
      <c r="A3" s="28"/>
    </row>
    <row r="4" spans="1:13" x14ac:dyDescent="0.25">
      <c r="A4" s="226" t="str">
        <f>VLOOKUP(251,Lang!$A$1:$I$2628,Lang!$L$1+1,FALSE)</f>
        <v>Pro výpočet emisí na osobu bude použita hodnota z indikátoru B-POP4:</v>
      </c>
      <c r="B4" s="60" t="str">
        <f>IF('B-POP4'!B4="",VLOOKUP(252,Lang!$A$1:$I$2628,Lang!$L$1+1,FALSE),'B-POP4'!B4)</f>
        <v>Hodnota v B-POP4 není zadaná, prosím doplňte jí.</v>
      </c>
    </row>
    <row r="5" spans="1:13" x14ac:dyDescent="0.25">
      <c r="A5" s="28"/>
      <c r="B5" s="60" t="str">
        <f>IF('B-POP4'!B4="",VLOOKUP(253,Lang!$A$1:$I$2628,Lang!$L$1+1,FALSE),"")</f>
        <v>při nezadání je dosazena hodnota  1 obyvatel</v>
      </c>
    </row>
    <row r="6" spans="1:13" ht="15.75" thickBot="1" x14ac:dyDescent="0.3">
      <c r="A6" s="121" t="str">
        <f>VLOOKUP(256,Lang!$A$1:$I$2628,Lang!$L$1+1,FALSE)</f>
        <v>Zdroj</v>
      </c>
      <c r="B6" s="122" t="s">
        <v>891</v>
      </c>
    </row>
    <row r="7" spans="1:13" ht="16.5" thickBot="1" x14ac:dyDescent="0.3">
      <c r="A7" s="61" t="str">
        <f>VLOOKUP(124,Lang!$A$1:$I$2628,Lang!$L$1+1,FALSE)</f>
        <v>Produkce odpadní vody v m³</v>
      </c>
      <c r="B7" s="87"/>
      <c r="H7" s="124" t="s">
        <v>28</v>
      </c>
      <c r="I7" s="125" t="s">
        <v>29</v>
      </c>
      <c r="J7" s="126" t="s">
        <v>30</v>
      </c>
      <c r="K7" s="127" t="s">
        <v>53</v>
      </c>
      <c r="L7" s="128" t="s">
        <v>104</v>
      </c>
    </row>
    <row r="8" spans="1:13" ht="16.5" thickBot="1" x14ac:dyDescent="0.3">
      <c r="A8" s="111"/>
      <c r="B8" s="123"/>
      <c r="C8" s="111"/>
      <c r="H8" s="118" t="s">
        <v>119</v>
      </c>
      <c r="I8" s="119" t="s">
        <v>120</v>
      </c>
      <c r="J8" s="119" t="s">
        <v>121</v>
      </c>
      <c r="K8" s="119" t="s">
        <v>122</v>
      </c>
      <c r="L8" s="120" t="s">
        <v>180</v>
      </c>
    </row>
    <row r="9" spans="1:13" hidden="1" x14ac:dyDescent="0.25">
      <c r="A9" s="111"/>
      <c r="B9" s="123"/>
      <c r="C9" s="111"/>
      <c r="K9">
        <f>IF('B-POP4'!B4="",1,'B-POP4'!B4)</f>
        <v>1</v>
      </c>
    </row>
    <row r="10" spans="1:13" hidden="1" x14ac:dyDescent="0.25">
      <c r="A10" s="111"/>
      <c r="B10" s="123"/>
      <c r="C10" s="111"/>
      <c r="H10">
        <v>141</v>
      </c>
      <c r="I10" t="s">
        <v>104</v>
      </c>
      <c r="J10" t="str">
        <f>IF(C$17&gt;=H10,5,"")</f>
        <v/>
      </c>
      <c r="L10">
        <v>5</v>
      </c>
      <c r="M10" s="132" t="str">
        <f>CONCATENATE("5 (",I10,")")</f>
        <v>5 (E)</v>
      </c>
    </row>
    <row r="11" spans="1:13" hidden="1" x14ac:dyDescent="0.25">
      <c r="A11" s="111"/>
      <c r="B11" s="123"/>
      <c r="C11" s="111"/>
      <c r="H11">
        <v>140</v>
      </c>
      <c r="I11" t="s">
        <v>53</v>
      </c>
      <c r="J11">
        <f>IF(C$17&lt;=H11,4,"")</f>
        <v>4</v>
      </c>
      <c r="L11">
        <v>4</v>
      </c>
      <c r="M11" s="132" t="str">
        <f>CONCATENATE("4 (",I11,")")</f>
        <v>4 (D)</v>
      </c>
    </row>
    <row r="12" spans="1:13" hidden="1" x14ac:dyDescent="0.25">
      <c r="A12" s="111"/>
      <c r="B12" s="123"/>
      <c r="C12" s="111"/>
      <c r="H12">
        <v>120</v>
      </c>
      <c r="I12" t="s">
        <v>30</v>
      </c>
      <c r="J12">
        <f>IF(C$17&lt;=H12,3,"")</f>
        <v>3</v>
      </c>
      <c r="L12">
        <v>3</v>
      </c>
      <c r="M12" s="132" t="str">
        <f>CONCATENATE("3 (",I12,")")</f>
        <v>3 (C)</v>
      </c>
    </row>
    <row r="13" spans="1:13" hidden="1" x14ac:dyDescent="0.25">
      <c r="A13" s="111"/>
      <c r="B13" s="123"/>
      <c r="C13" s="111"/>
      <c r="H13">
        <v>80</v>
      </c>
      <c r="I13" t="s">
        <v>29</v>
      </c>
      <c r="J13">
        <f>IF(C$17&lt;=H13,2,"")</f>
        <v>2</v>
      </c>
      <c r="L13">
        <v>2</v>
      </c>
      <c r="M13" s="132" t="str">
        <f>CONCATENATE("2 (",I13,")")</f>
        <v>2 (B)</v>
      </c>
    </row>
    <row r="14" spans="1:13" hidden="1" x14ac:dyDescent="0.25">
      <c r="A14" s="28"/>
      <c r="H14">
        <v>40</v>
      </c>
      <c r="I14" t="s">
        <v>28</v>
      </c>
      <c r="J14">
        <f>IF(C$17&lt;=H14,1,"")</f>
        <v>1</v>
      </c>
      <c r="L14">
        <v>1</v>
      </c>
      <c r="M14" s="132" t="str">
        <f>CONCATENATE("1 (",I14,")")</f>
        <v>1 (A)</v>
      </c>
    </row>
    <row r="15" spans="1:13" hidden="1" x14ac:dyDescent="0.25">
      <c r="A15" s="28"/>
    </row>
    <row r="16" spans="1:13" x14ac:dyDescent="0.25">
      <c r="A16" s="28"/>
    </row>
    <row r="17" spans="1:2" ht="18.75" hidden="1" x14ac:dyDescent="0.3">
      <c r="A17" s="72" t="str">
        <f>VLOOKUP(139,Lang!A1:D2628,Lang!L$1+1,FALSE)</f>
        <v>Hodnota indikátoru</v>
      </c>
      <c r="B17" s="70">
        <f>IF(B7="",C17,VLOOKUP(MIN(J10:J14),L10:M14,2,FALSE))</f>
        <v>0</v>
      </c>
    </row>
    <row r="18" spans="1:2" x14ac:dyDescent="0.25">
      <c r="A18" s="28"/>
    </row>
    <row r="19" spans="1:2" x14ac:dyDescent="0.25">
      <c r="A19" s="28"/>
    </row>
    <row r="20" spans="1:2" x14ac:dyDescent="0.25">
      <c r="A20" s="1" t="str">
        <f>IF('Výběr státu'!A9="",CONCATENATE(VLOOKUP(255,Lang!A1:D2628,Lang!L$1+1,FALSE),VLOOKUP(103,Lang!A1:D2628,Lang!L$1+1,FALSE)),CONCATENATE(VLOOKUP(254,Lang!A1:D2628,Lang!L$1+1,FALSE),'Výběr státu'!A9))</f>
        <v>Automaticky zvolená země: Česká republika</v>
      </c>
    </row>
    <row r="21" spans="1:2" x14ac:dyDescent="0.25">
      <c r="A21" s="28"/>
    </row>
    <row r="22" spans="1:2" ht="15.75" thickBot="1" x14ac:dyDescent="0.3">
      <c r="A22" s="28"/>
    </row>
    <row r="23" spans="1:2" ht="18" thickBot="1" x14ac:dyDescent="0.35">
      <c r="A23" s="230" t="str">
        <f>VLOOKUP(268,Lang!A$1:D$2628,Lang!L$1+1,FALSE)</f>
        <v>Hodnota pro vložení do Klimaskenu</v>
      </c>
      <c r="B23" s="238" t="str">
        <f>IF(ISNUMBER(B7),ROUND(B7,1),"")</f>
        <v/>
      </c>
    </row>
    <row r="24" spans="1:2" x14ac:dyDescent="0.25">
      <c r="A24" s="28"/>
    </row>
    <row r="25" spans="1:2" x14ac:dyDescent="0.25">
      <c r="A25" s="28"/>
    </row>
    <row r="26" spans="1:2" x14ac:dyDescent="0.25">
      <c r="A26" s="28"/>
    </row>
    <row r="27" spans="1:2" x14ac:dyDescent="0.25">
      <c r="A27" s="28"/>
    </row>
    <row r="28" spans="1:2" x14ac:dyDescent="0.25">
      <c r="A28" s="28"/>
    </row>
    <row r="29" spans="1:2" x14ac:dyDescent="0.25">
      <c r="A29" s="28"/>
    </row>
    <row r="30" spans="1:2" x14ac:dyDescent="0.25">
      <c r="A30" s="28"/>
    </row>
    <row r="31" spans="1:2" x14ac:dyDescent="0.25">
      <c r="A31" s="28"/>
    </row>
    <row r="32" spans="1:2" x14ac:dyDescent="0.25">
      <c r="A32" s="28"/>
    </row>
    <row r="33" spans="1:1" x14ac:dyDescent="0.25">
      <c r="A33" s="28"/>
    </row>
    <row r="34" spans="1:1" x14ac:dyDescent="0.25">
      <c r="A34" s="28"/>
    </row>
    <row r="35" spans="1:1" x14ac:dyDescent="0.25">
      <c r="A35" s="29"/>
    </row>
    <row r="38" spans="1:1" x14ac:dyDescent="0.25">
      <c r="A38" s="29"/>
    </row>
    <row r="39" spans="1:1" x14ac:dyDescent="0.25">
      <c r="A39" s="29"/>
    </row>
  </sheetData>
  <sheetProtection sheet="1" objects="1" scenarios="1"/>
  <mergeCells count="1">
    <mergeCell ref="E1:F1"/>
  </mergeCells>
  <conditionalFormatting sqref="B17">
    <cfRule type="expression" dxfId="4" priority="2">
      <formula>$B$17=#REF!</formula>
    </cfRule>
    <cfRule type="expression" dxfId="3" priority="3">
      <formula>$B$17=#REF!</formula>
    </cfRule>
    <cfRule type="expression" dxfId="2" priority="4">
      <formula>$B$17=#REF!</formula>
    </cfRule>
    <cfRule type="expression" dxfId="1" priority="5">
      <formula>#REF!=$B$17</formula>
    </cfRule>
    <cfRule type="expression" dxfId="0" priority="6">
      <formula>$B$17=#REF!</formula>
    </cfRule>
  </conditionalFormatting>
  <conditionalFormatting sqref="B23">
    <cfRule type="iconSet" priority="1">
      <iconSet iconSet="3Symbols2">
        <cfvo type="percent" val="0"/>
        <cfvo type="percent" val="33"/>
        <cfvo type="percent" val="67"/>
      </iconSet>
    </cfRule>
  </conditionalFormatting>
  <hyperlinks>
    <hyperlink ref="A4" location="'B-POP4'!A1" display="'B-POP4'!A1"/>
  </hyperlinks>
  <pageMargins left="0.7" right="0.7" top="0.78740157499999996" bottom="0.78740157499999996"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topLeftCell="A43" workbookViewId="0">
      <selection sqref="A1:F46"/>
    </sheetView>
  </sheetViews>
  <sheetFormatPr defaultRowHeight="15" x14ac:dyDescent="0.25"/>
  <cols>
    <col min="1" max="1" width="43.42578125" customWidth="1"/>
    <col min="2" max="2" width="58.7109375" customWidth="1"/>
    <col min="3" max="3" width="54.42578125" customWidth="1"/>
  </cols>
  <sheetData>
    <row r="1" spans="1:6" ht="30" customHeight="1" x14ac:dyDescent="0.25">
      <c r="A1" s="252" t="s">
        <v>1038</v>
      </c>
      <c r="B1" s="265" t="s">
        <v>1055</v>
      </c>
      <c r="C1" s="256" t="s">
        <v>1090</v>
      </c>
      <c r="E1" s="258">
        <v>85</v>
      </c>
      <c r="F1" s="258" t="s">
        <v>1099</v>
      </c>
    </row>
    <row r="2" spans="1:6" x14ac:dyDescent="0.25">
      <c r="A2" s="252" t="s">
        <v>1039</v>
      </c>
      <c r="B2" s="265" t="s">
        <v>1055</v>
      </c>
      <c r="C2" s="256" t="s">
        <v>30</v>
      </c>
      <c r="E2" s="261">
        <v>85</v>
      </c>
      <c r="F2" s="258" t="s">
        <v>1099</v>
      </c>
    </row>
    <row r="3" spans="1:6" x14ac:dyDescent="0.25">
      <c r="A3" s="313" t="s">
        <v>1040</v>
      </c>
      <c r="B3" s="316" t="s">
        <v>1056</v>
      </c>
      <c r="C3" s="266" t="s">
        <v>1091</v>
      </c>
      <c r="D3" s="262">
        <v>0.17799999999999999</v>
      </c>
      <c r="F3" s="258" t="s">
        <v>102</v>
      </c>
    </row>
    <row r="4" spans="1:6" x14ac:dyDescent="0.25">
      <c r="A4" s="314"/>
      <c r="B4" s="317"/>
      <c r="C4" s="266" t="s">
        <v>1092</v>
      </c>
      <c r="D4" s="263">
        <v>0.37</v>
      </c>
      <c r="F4" s="258" t="s">
        <v>102</v>
      </c>
    </row>
    <row r="5" spans="1:6" x14ac:dyDescent="0.25">
      <c r="A5" s="314"/>
      <c r="B5" s="317"/>
      <c r="C5" s="266" t="s">
        <v>1093</v>
      </c>
      <c r="D5" s="262">
        <v>0.26300000000000001</v>
      </c>
      <c r="F5" s="258" t="s">
        <v>102</v>
      </c>
    </row>
    <row r="6" spans="1:6" x14ac:dyDescent="0.25">
      <c r="A6" s="314"/>
      <c r="B6" s="317"/>
      <c r="C6" s="266" t="s">
        <v>1094</v>
      </c>
      <c r="D6" s="262">
        <v>0</v>
      </c>
      <c r="F6" s="258" t="s">
        <v>102</v>
      </c>
    </row>
    <row r="7" spans="1:6" x14ac:dyDescent="0.25">
      <c r="A7" s="315"/>
      <c r="B7" s="318"/>
      <c r="C7" s="266" t="s">
        <v>1095</v>
      </c>
      <c r="D7" s="262">
        <v>0.15</v>
      </c>
      <c r="F7" s="258" t="s">
        <v>102</v>
      </c>
    </row>
    <row r="8" spans="1:6" x14ac:dyDescent="0.25">
      <c r="A8" s="252" t="s">
        <v>1041</v>
      </c>
      <c r="B8" s="265" t="s">
        <v>1057</v>
      </c>
      <c r="C8" s="256" t="s">
        <v>1090</v>
      </c>
      <c r="E8" s="261" t="s">
        <v>1103</v>
      </c>
      <c r="F8" s="259" t="s">
        <v>1099</v>
      </c>
    </row>
    <row r="9" spans="1:6" x14ac:dyDescent="0.25">
      <c r="A9" s="313" t="s">
        <v>1042</v>
      </c>
      <c r="B9" s="319" t="s">
        <v>1058</v>
      </c>
      <c r="C9" s="99" t="s">
        <v>1096</v>
      </c>
      <c r="D9" s="99"/>
      <c r="E9" s="99"/>
    </row>
    <row r="10" spans="1:6" x14ac:dyDescent="0.25">
      <c r="A10" s="314"/>
      <c r="B10" s="320"/>
      <c r="C10" s="256" t="s">
        <v>1097</v>
      </c>
      <c r="D10" s="258" t="s">
        <v>1099</v>
      </c>
      <c r="E10" s="258">
        <v>0.8</v>
      </c>
    </row>
    <row r="11" spans="1:6" x14ac:dyDescent="0.25">
      <c r="A11" s="315"/>
      <c r="B11" s="321"/>
      <c r="C11" s="257" t="s">
        <v>1098</v>
      </c>
      <c r="D11" s="99" t="s">
        <v>1099</v>
      </c>
      <c r="E11" s="258">
        <v>1</v>
      </c>
    </row>
    <row r="12" spans="1:6" x14ac:dyDescent="0.25">
      <c r="A12" s="252" t="s">
        <v>1104</v>
      </c>
      <c r="B12" s="265" t="s">
        <v>1059</v>
      </c>
      <c r="C12" s="256" t="s">
        <v>1090</v>
      </c>
      <c r="D12" s="260" t="s">
        <v>102</v>
      </c>
      <c r="E12" s="260">
        <v>0.49548999999999999</v>
      </c>
    </row>
    <row r="13" spans="1:6" x14ac:dyDescent="0.25">
      <c r="A13" s="252" t="s">
        <v>1105</v>
      </c>
      <c r="B13" s="265" t="s">
        <v>1060</v>
      </c>
      <c r="C13" s="256" t="s">
        <v>1090</v>
      </c>
      <c r="D13" s="260" t="s">
        <v>102</v>
      </c>
      <c r="E13" s="258">
        <v>0.15548000000000001</v>
      </c>
    </row>
    <row r="14" spans="1:6" x14ac:dyDescent="0.25">
      <c r="A14" s="252" t="s">
        <v>1106</v>
      </c>
      <c r="B14" s="265" t="s">
        <v>1061</v>
      </c>
      <c r="C14" s="256" t="s">
        <v>1090</v>
      </c>
      <c r="D14" s="260" t="s">
        <v>102</v>
      </c>
      <c r="E14" s="258">
        <v>0.24374999999999999</v>
      </c>
    </row>
    <row r="15" spans="1:6" x14ac:dyDescent="0.25">
      <c r="A15" s="252" t="s">
        <v>1107</v>
      </c>
      <c r="B15" s="265" t="s">
        <v>1062</v>
      </c>
      <c r="C15" s="256" t="s">
        <v>1090</v>
      </c>
      <c r="D15" s="260" t="s">
        <v>102</v>
      </c>
      <c r="E15" s="258">
        <v>0.33866000000000002</v>
      </c>
    </row>
    <row r="16" spans="1:6" x14ac:dyDescent="0.25">
      <c r="A16" s="252" t="s">
        <v>1108</v>
      </c>
      <c r="B16" s="265" t="s">
        <v>1063</v>
      </c>
      <c r="C16" s="256" t="s">
        <v>1090</v>
      </c>
      <c r="D16" s="260" t="s">
        <v>102</v>
      </c>
      <c r="E16" s="258">
        <v>0.75961999999999996</v>
      </c>
    </row>
    <row r="17" spans="1:5" x14ac:dyDescent="0.25">
      <c r="A17" s="252" t="s">
        <v>1109</v>
      </c>
      <c r="B17" s="265" t="s">
        <v>1064</v>
      </c>
      <c r="C17" s="256" t="s">
        <v>1090</v>
      </c>
      <c r="D17" s="260" t="s">
        <v>102</v>
      </c>
      <c r="E17" s="258">
        <v>0.11118</v>
      </c>
    </row>
    <row r="18" spans="1:5" x14ac:dyDescent="0.25">
      <c r="A18" s="252" t="s">
        <v>1110</v>
      </c>
      <c r="B18" s="265" t="s">
        <v>1065</v>
      </c>
      <c r="C18" s="256" t="s">
        <v>1090</v>
      </c>
      <c r="D18" s="260" t="s">
        <v>102</v>
      </c>
      <c r="E18" s="258">
        <v>0.16189000000000001</v>
      </c>
    </row>
    <row r="19" spans="1:5" x14ac:dyDescent="0.25">
      <c r="A19" s="252" t="s">
        <v>1111</v>
      </c>
      <c r="B19" s="265" t="s">
        <v>1066</v>
      </c>
      <c r="C19" s="256" t="s">
        <v>1090</v>
      </c>
      <c r="D19" s="260" t="s">
        <v>102</v>
      </c>
      <c r="E19" s="258">
        <v>0.37212000000000001</v>
      </c>
    </row>
    <row r="20" spans="1:5" x14ac:dyDescent="0.25">
      <c r="A20" s="252" t="s">
        <v>1112</v>
      </c>
      <c r="B20" s="265" t="s">
        <v>1067</v>
      </c>
      <c r="C20" s="256" t="s">
        <v>1090</v>
      </c>
      <c r="D20" s="260" t="s">
        <v>102</v>
      </c>
      <c r="E20" s="258">
        <v>0.22696</v>
      </c>
    </row>
    <row r="21" spans="1:5" x14ac:dyDescent="0.25">
      <c r="A21" s="252" t="s">
        <v>1113</v>
      </c>
      <c r="B21" s="265" t="s">
        <v>1068</v>
      </c>
      <c r="C21" s="256" t="s">
        <v>1090</v>
      </c>
      <c r="D21" s="260" t="s">
        <v>102</v>
      </c>
      <c r="E21" s="258">
        <v>0.64290000000000003</v>
      </c>
    </row>
    <row r="22" spans="1:5" x14ac:dyDescent="0.25">
      <c r="A22" s="252" t="s">
        <v>1114</v>
      </c>
      <c r="B22" s="265" t="s">
        <v>1069</v>
      </c>
      <c r="C22" s="256" t="s">
        <v>1090</v>
      </c>
      <c r="D22" s="260" t="s">
        <v>102</v>
      </c>
      <c r="E22" s="258">
        <v>0.14252000000000001</v>
      </c>
    </row>
    <row r="23" spans="1:5" x14ac:dyDescent="0.25">
      <c r="A23" s="252" t="s">
        <v>1115</v>
      </c>
      <c r="B23" s="265" t="s">
        <v>1070</v>
      </c>
      <c r="C23" s="256" t="s">
        <v>1090</v>
      </c>
      <c r="D23" s="260" t="s">
        <v>102</v>
      </c>
      <c r="E23" s="258">
        <v>0.59869000000000006</v>
      </c>
    </row>
    <row r="24" spans="1:5" x14ac:dyDescent="0.25">
      <c r="A24" s="252" t="s">
        <v>56</v>
      </c>
      <c r="B24" s="265" t="s">
        <v>1071</v>
      </c>
      <c r="C24" s="256" t="s">
        <v>1090</v>
      </c>
      <c r="D24" s="260" t="s">
        <v>102</v>
      </c>
      <c r="E24" s="258">
        <v>9.5320000000000002E-2</v>
      </c>
    </row>
    <row r="25" spans="1:5" x14ac:dyDescent="0.25">
      <c r="A25" s="252" t="s">
        <v>1116</v>
      </c>
      <c r="B25" s="265" t="s">
        <v>1072</v>
      </c>
      <c r="C25" s="256" t="s">
        <v>1090</v>
      </c>
      <c r="D25" s="260" t="s">
        <v>102</v>
      </c>
      <c r="E25" s="258">
        <v>0.21567</v>
      </c>
    </row>
    <row r="26" spans="1:5" x14ac:dyDescent="0.25">
      <c r="A26" s="252" t="s">
        <v>1117</v>
      </c>
      <c r="B26" s="265" t="s">
        <v>1073</v>
      </c>
      <c r="C26" s="256" t="s">
        <v>1090</v>
      </c>
      <c r="D26" s="260" t="s">
        <v>102</v>
      </c>
      <c r="E26" s="258">
        <v>0.25356000000000001</v>
      </c>
    </row>
    <row r="27" spans="1:5" x14ac:dyDescent="0.25">
      <c r="A27" s="252" t="s">
        <v>1118</v>
      </c>
      <c r="B27" s="265" t="s">
        <v>1074</v>
      </c>
      <c r="C27" s="256" t="s">
        <v>1090</v>
      </c>
      <c r="D27" s="260" t="s">
        <v>102</v>
      </c>
      <c r="E27" s="258">
        <v>0.37434000000000001</v>
      </c>
    </row>
    <row r="28" spans="1:5" x14ac:dyDescent="0.25">
      <c r="A28" s="252" t="s">
        <v>1119</v>
      </c>
      <c r="B28" s="265" t="s">
        <v>1075</v>
      </c>
      <c r="C28" s="256" t="s">
        <v>1090</v>
      </c>
      <c r="D28" s="260" t="s">
        <v>102</v>
      </c>
      <c r="E28" s="258">
        <v>0.26184000000000002</v>
      </c>
    </row>
    <row r="29" spans="1:5" x14ac:dyDescent="0.25">
      <c r="A29" s="252" t="s">
        <v>1120</v>
      </c>
      <c r="B29" s="265" t="s">
        <v>1076</v>
      </c>
      <c r="C29" s="256" t="s">
        <v>1090</v>
      </c>
      <c r="D29" s="260" t="s">
        <v>102</v>
      </c>
      <c r="E29" s="258">
        <v>0.77668999999999999</v>
      </c>
    </row>
    <row r="30" spans="1:5" x14ac:dyDescent="0.25">
      <c r="A30" s="252" t="s">
        <v>1121</v>
      </c>
      <c r="B30" s="265" t="s">
        <v>1077</v>
      </c>
      <c r="C30" s="256" t="s">
        <v>1090</v>
      </c>
      <c r="D30" s="260" t="s">
        <v>102</v>
      </c>
      <c r="E30" s="258">
        <v>0.22405</v>
      </c>
    </row>
    <row r="31" spans="1:5" x14ac:dyDescent="0.25">
      <c r="A31" s="252" t="s">
        <v>1043</v>
      </c>
      <c r="B31" s="265" t="s">
        <v>1078</v>
      </c>
      <c r="C31" s="256" t="s">
        <v>1090</v>
      </c>
      <c r="D31" s="260" t="s">
        <v>102</v>
      </c>
      <c r="E31" s="258">
        <v>0.19800000000000001</v>
      </c>
    </row>
    <row r="32" spans="1:5" x14ac:dyDescent="0.25">
      <c r="A32" s="252" t="s">
        <v>1044</v>
      </c>
      <c r="B32" s="267" t="s">
        <v>1079</v>
      </c>
      <c r="C32" s="256" t="s">
        <v>1090</v>
      </c>
      <c r="D32" s="99" t="s">
        <v>1100</v>
      </c>
      <c r="E32" s="258">
        <v>0</v>
      </c>
    </row>
    <row r="33" spans="1:5" x14ac:dyDescent="0.25">
      <c r="A33" s="253" t="s">
        <v>1045</v>
      </c>
      <c r="B33" s="268" t="s">
        <v>1080</v>
      </c>
      <c r="C33" s="256" t="s">
        <v>1090</v>
      </c>
      <c r="D33" s="260" t="s">
        <v>102</v>
      </c>
      <c r="E33" s="260">
        <v>0.34899999999999998</v>
      </c>
    </row>
    <row r="34" spans="1:5" x14ac:dyDescent="0.25">
      <c r="A34" s="253" t="s">
        <v>1046</v>
      </c>
      <c r="B34" s="268" t="s">
        <v>1081</v>
      </c>
      <c r="C34" s="256" t="s">
        <v>1090</v>
      </c>
      <c r="D34" s="260" t="s">
        <v>102</v>
      </c>
      <c r="E34" s="260">
        <v>0.34100000000000003</v>
      </c>
    </row>
    <row r="35" spans="1:5" x14ac:dyDescent="0.25">
      <c r="A35" s="253" t="s">
        <v>1047</v>
      </c>
      <c r="B35" s="268" t="s">
        <v>1082</v>
      </c>
      <c r="C35" s="256" t="s">
        <v>1090</v>
      </c>
      <c r="D35" s="99" t="s">
        <v>1100</v>
      </c>
      <c r="E35" s="260">
        <v>0</v>
      </c>
    </row>
    <row r="36" spans="1:5" x14ac:dyDescent="0.25">
      <c r="A36" s="253" t="s">
        <v>1048</v>
      </c>
      <c r="B36" s="268" t="s">
        <v>1083</v>
      </c>
      <c r="C36" s="256" t="s">
        <v>1090</v>
      </c>
      <c r="D36" s="99" t="s">
        <v>1100</v>
      </c>
      <c r="E36" s="260">
        <v>0.22233</v>
      </c>
    </row>
    <row r="37" spans="1:5" x14ac:dyDescent="0.25">
      <c r="A37" s="253" t="s">
        <v>1049</v>
      </c>
      <c r="B37" s="268" t="s">
        <v>1084</v>
      </c>
      <c r="C37" s="256" t="s">
        <v>1090</v>
      </c>
      <c r="D37" s="99" t="s">
        <v>1100</v>
      </c>
      <c r="E37" s="260">
        <v>4.9049999999999996E-2</v>
      </c>
    </row>
    <row r="38" spans="1:5" x14ac:dyDescent="0.25">
      <c r="A38" s="253" t="s">
        <v>1050</v>
      </c>
      <c r="B38" s="268" t="s">
        <v>1085</v>
      </c>
      <c r="C38" s="256" t="s">
        <v>1090</v>
      </c>
      <c r="D38" s="258" t="s">
        <v>1101</v>
      </c>
      <c r="E38" s="258">
        <v>0.70899999999999996</v>
      </c>
    </row>
    <row r="39" spans="1:5" x14ac:dyDescent="0.25">
      <c r="A39" s="253" t="s">
        <v>1051</v>
      </c>
      <c r="B39" s="268" t="s">
        <v>1086</v>
      </c>
      <c r="C39" s="256" t="s">
        <v>1090</v>
      </c>
      <c r="D39" s="258" t="s">
        <v>1101</v>
      </c>
      <c r="E39" s="260">
        <v>1.0249999999999999</v>
      </c>
    </row>
    <row r="40" spans="1:5" x14ac:dyDescent="0.25">
      <c r="A40" s="253" t="s">
        <v>1052</v>
      </c>
      <c r="B40" s="268" t="s">
        <v>1087</v>
      </c>
      <c r="C40" s="256" t="s">
        <v>1090</v>
      </c>
      <c r="D40" s="258" t="s">
        <v>1101</v>
      </c>
      <c r="E40" s="260">
        <v>2.0299999999999998</v>
      </c>
    </row>
    <row r="41" spans="1:5" x14ac:dyDescent="0.25">
      <c r="A41" s="253" t="s">
        <v>1053</v>
      </c>
      <c r="B41" s="268" t="s">
        <v>1088</v>
      </c>
      <c r="C41" s="256" t="s">
        <v>1090</v>
      </c>
      <c r="D41" s="258" t="s">
        <v>1102</v>
      </c>
      <c r="E41" s="260">
        <v>0.70799999999999996</v>
      </c>
    </row>
    <row r="42" spans="1:5" x14ac:dyDescent="0.25">
      <c r="A42" s="253" t="s">
        <v>1054</v>
      </c>
      <c r="B42" s="268" t="s">
        <v>1089</v>
      </c>
      <c r="C42" s="256" t="s">
        <v>1090</v>
      </c>
      <c r="D42" s="258" t="s">
        <v>1101</v>
      </c>
      <c r="E42" s="264">
        <v>0.2</v>
      </c>
    </row>
    <row r="43" spans="1:5" ht="30" x14ac:dyDescent="0.25">
      <c r="A43" s="254" t="s">
        <v>1079</v>
      </c>
      <c r="B43" s="258">
        <v>0.17710000000000001</v>
      </c>
      <c r="C43" s="258" t="s">
        <v>1100</v>
      </c>
    </row>
    <row r="44" spans="1:5" x14ac:dyDescent="0.25">
      <c r="A44" s="255" t="s">
        <v>1082</v>
      </c>
      <c r="B44" s="258">
        <v>4.1149999999999999E-2</v>
      </c>
      <c r="C44" s="258" t="s">
        <v>1100</v>
      </c>
    </row>
    <row r="45" spans="1:5" x14ac:dyDescent="0.25">
      <c r="A45" s="255" t="s">
        <v>1083</v>
      </c>
      <c r="B45" s="258">
        <v>2.7789999999999999E-2</v>
      </c>
      <c r="C45" s="258" t="s">
        <v>1100</v>
      </c>
    </row>
    <row r="46" spans="1:5" x14ac:dyDescent="0.25">
      <c r="A46" s="255" t="s">
        <v>1084</v>
      </c>
      <c r="B46" s="258">
        <v>0.18078000000000002</v>
      </c>
      <c r="C46" s="258" t="s">
        <v>1100</v>
      </c>
    </row>
  </sheetData>
  <mergeCells count="4">
    <mergeCell ref="A3:A7"/>
    <mergeCell ref="B3:B7"/>
    <mergeCell ref="A9:A11"/>
    <mergeCell ref="B9:B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
  <sheetViews>
    <sheetView showGridLines="0" zoomScaleNormal="100" workbookViewId="0">
      <selection activeCell="B4" sqref="B4"/>
    </sheetView>
  </sheetViews>
  <sheetFormatPr defaultRowHeight="15" x14ac:dyDescent="0.25"/>
  <cols>
    <col min="1" max="1" width="98.28515625" style="29" bestFit="1" customWidth="1"/>
    <col min="2" max="2" width="18.85546875" customWidth="1"/>
    <col min="3" max="3" width="17.85546875" customWidth="1"/>
    <col min="4" max="4" width="13.28515625" customWidth="1"/>
    <col min="7" max="9" width="9.140625" customWidth="1"/>
    <col min="10" max="10" width="18.5703125" hidden="1" customWidth="1"/>
  </cols>
  <sheetData>
    <row r="1" spans="1:6" s="208" customFormat="1" ht="32.25" customHeight="1" x14ac:dyDescent="0.25">
      <c r="A1" s="207" t="str">
        <f>VLOOKUP(44,Lang!A1:D2628,Lang!L1+1,FALSE)</f>
        <v>B-POP1 - Rok výstavby</v>
      </c>
      <c r="E1" s="297" t="str">
        <f>VLOOKUP(129,Lang!A1:D2628,Lang!L1+1,FALSE)</f>
        <v>Navigace</v>
      </c>
      <c r="F1" s="298"/>
    </row>
    <row r="2" spans="1:6" ht="28.5" customHeight="1" thickBot="1" x14ac:dyDescent="0.3">
      <c r="A2" s="199" t="str">
        <f>VLOOKUP(130,Lang!A1:D2628,Lang!L1+1,FALSE)</f>
        <v>Metodický list indikátoru</v>
      </c>
      <c r="E2" s="100"/>
      <c r="F2" s="101"/>
    </row>
    <row r="3" spans="1:6" x14ac:dyDescent="0.25">
      <c r="A3" s="200"/>
    </row>
    <row r="4" spans="1:6" x14ac:dyDescent="0.25">
      <c r="A4" s="99" t="str">
        <f>VLOOKUP(133,Lang!A1:D2628,Lang!L1+1,FALSE)</f>
        <v>Zadejte rok výstavby</v>
      </c>
      <c r="B4" s="156"/>
    </row>
    <row r="7" spans="1:6" ht="15.75" thickBot="1" x14ac:dyDescent="0.3"/>
    <row r="8" spans="1:6" ht="18" thickBot="1" x14ac:dyDescent="0.35">
      <c r="A8" s="230" t="str">
        <f>VLOOKUP(268,Lang!A$1:D$2628,Lang!L$1+1,FALSE)</f>
        <v>Hodnota pro vložení do Klimaskenu</v>
      </c>
      <c r="B8" s="231" t="str">
        <f>IF(B4=0,"",B4)</f>
        <v/>
      </c>
    </row>
  </sheetData>
  <sheetProtection sheet="1" objects="1" scenarios="1"/>
  <mergeCells count="1">
    <mergeCell ref="E1:F1"/>
  </mergeCells>
  <conditionalFormatting sqref="B8">
    <cfRule type="iconSet" priority="1">
      <iconSet iconSet="3Symbols2">
        <cfvo type="percent" val="0"/>
        <cfvo type="percent" val="33"/>
        <cfvo type="percent" val="67"/>
      </iconSet>
    </cfRule>
  </conditionalFormatting>
  <dataValidations count="1">
    <dataValidation type="whole" allowBlank="1" showInputMessage="1" showErrorMessage="1" error="Interval: min: 1000; max. 2100" sqref="B4">
      <formula1>1000</formula1>
      <formula2>2100</formula2>
    </dataValidation>
  </dataValidations>
  <pageMargins left="0.7" right="0.7" top="0.78740157499999996" bottom="0.78740157499999996"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
  <sheetViews>
    <sheetView showGridLines="0" workbookViewId="0">
      <selection activeCell="B4" sqref="B4"/>
    </sheetView>
  </sheetViews>
  <sheetFormatPr defaultRowHeight="15" x14ac:dyDescent="0.25"/>
  <cols>
    <col min="1" max="1" width="74" style="29" bestFit="1" customWidth="1"/>
    <col min="2" max="2" width="18.85546875" customWidth="1"/>
    <col min="3" max="3" width="17.85546875" customWidth="1"/>
    <col min="4" max="4" width="13.28515625" customWidth="1"/>
    <col min="7" max="9" width="9.140625" customWidth="1"/>
    <col min="10" max="10" width="18.5703125" hidden="1" customWidth="1"/>
  </cols>
  <sheetData>
    <row r="1" spans="1:6" s="210" customFormat="1" ht="32.25" customHeight="1" x14ac:dyDescent="0.25">
      <c r="A1" s="209" t="str">
        <f>VLOOKUP(45,Lang!A1:D2628,Lang!L1+1,FALSE)</f>
        <v xml:space="preserve">B-POP2 - Rok významné obnovy budovy                                          </v>
      </c>
      <c r="E1" s="299" t="str">
        <f>VLOOKUP(129,Lang!A1:D2628,Lang!L1+1,FALSE)</f>
        <v>Navigace</v>
      </c>
      <c r="F1" s="300"/>
    </row>
    <row r="2" spans="1:6" ht="28.5" customHeight="1" thickBot="1" x14ac:dyDescent="0.3">
      <c r="A2" s="199" t="str">
        <f>VLOOKUP(130,Lang!A1:D2628,Lang!L1+1,FALSE)</f>
        <v>Metodický list indikátoru</v>
      </c>
      <c r="E2" s="100"/>
      <c r="F2" s="101"/>
    </row>
    <row r="3" spans="1:6" x14ac:dyDescent="0.25">
      <c r="A3" s="200"/>
    </row>
    <row r="4" spans="1:6" s="139" customFormat="1" ht="18" customHeight="1" x14ac:dyDescent="0.25">
      <c r="A4" s="68" t="str">
        <f>VLOOKUP(134,Lang!A1:D2628,Lang!L1+1,FALSE)</f>
        <v>Zadejte rok poslední významné obnovy budovy</v>
      </c>
      <c r="B4" s="154"/>
    </row>
    <row r="7" spans="1:6" ht="15.75" thickBot="1" x14ac:dyDescent="0.3"/>
    <row r="8" spans="1:6" ht="18" thickBot="1" x14ac:dyDescent="0.35">
      <c r="A8" s="230" t="str">
        <f>VLOOKUP(268,Lang!A$1:D$2628,Lang!L$1+1,FALSE)</f>
        <v>Hodnota pro vložení do Klimaskenu</v>
      </c>
      <c r="B8" s="231" t="str">
        <f>IF(B4=0,"",B4)</f>
        <v/>
      </c>
    </row>
  </sheetData>
  <sheetProtection sheet="1" objects="1" scenarios="1"/>
  <mergeCells count="1">
    <mergeCell ref="E1:F1"/>
  </mergeCells>
  <conditionalFormatting sqref="B8">
    <cfRule type="iconSet" priority="1">
      <iconSet iconSet="3Symbols2">
        <cfvo type="percent" val="0"/>
        <cfvo type="percent" val="33"/>
        <cfvo type="percent" val="67"/>
      </iconSet>
    </cfRule>
  </conditionalFormatting>
  <dataValidations count="1">
    <dataValidation type="whole" allowBlank="1" showInputMessage="1" showErrorMessage="1" error="Interval: min: 1000; max 2100" sqref="B4">
      <formula1>1000</formula1>
      <formula2>2100</formula2>
    </dataValidation>
  </dataValidations>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
  <sheetViews>
    <sheetView showGridLines="0" zoomScaleNormal="100" workbookViewId="0">
      <selection activeCell="A14" sqref="A14"/>
    </sheetView>
  </sheetViews>
  <sheetFormatPr defaultRowHeight="15" x14ac:dyDescent="0.25"/>
  <cols>
    <col min="1" max="1" width="96.28515625" style="29" customWidth="1"/>
    <col min="2" max="2" width="18.85546875" customWidth="1"/>
    <col min="3" max="3" width="17.85546875" customWidth="1"/>
    <col min="4" max="4" width="13.28515625" customWidth="1"/>
    <col min="7" max="9" width="9.140625" customWidth="1"/>
    <col min="10" max="10" width="18.5703125" hidden="1" customWidth="1"/>
  </cols>
  <sheetData>
    <row r="1" spans="1:6" s="210" customFormat="1" ht="32.25" customHeight="1" x14ac:dyDescent="0.25">
      <c r="A1" s="209" t="str">
        <f>VLOOKUP(46,Lang!A1:D2628,Lang!L1+1,FALSE)</f>
        <v>B-POP3 - Počet podlaží</v>
      </c>
      <c r="E1" s="299" t="str">
        <f>VLOOKUP(129,Lang!A1:D2628,Lang!L1+1,FALSE)</f>
        <v>Navigace</v>
      </c>
      <c r="F1" s="300"/>
    </row>
    <row r="2" spans="1:6" ht="28.5" customHeight="1" thickBot="1" x14ac:dyDescent="0.3">
      <c r="A2" s="199" t="str">
        <f>VLOOKUP(130,Lang!A1:D2628,Lang!L1+1,FALSE)</f>
        <v>Metodický list indikátoru</v>
      </c>
      <c r="E2" s="100"/>
      <c r="F2" s="101"/>
    </row>
    <row r="3" spans="1:6" x14ac:dyDescent="0.25">
      <c r="A3" s="200"/>
    </row>
    <row r="4" spans="1:6" x14ac:dyDescent="0.25">
      <c r="A4" s="99" t="str">
        <f>VLOOKUP(135,Lang!A1:D2628,Lang!L1+1,FALSE)</f>
        <v>Zadejte počet podlaží budovy</v>
      </c>
      <c r="B4" s="87"/>
    </row>
    <row r="7" spans="1:6" ht="15.75" thickBot="1" x14ac:dyDescent="0.3"/>
    <row r="8" spans="1:6" ht="18" thickBot="1" x14ac:dyDescent="0.35">
      <c r="A8" s="230" t="str">
        <f>VLOOKUP(268,Lang!A$1:D$2628,Lang!L$1+1,FALSE)</f>
        <v>Hodnota pro vložení do Klimaskenu</v>
      </c>
      <c r="B8" s="231" t="str">
        <f>IF(B4=0,"",B4)</f>
        <v/>
      </c>
    </row>
  </sheetData>
  <sheetProtection sheet="1" objects="1" scenarios="1"/>
  <mergeCells count="1">
    <mergeCell ref="E1:F1"/>
  </mergeCells>
  <conditionalFormatting sqref="B8">
    <cfRule type="iconSet" priority="1">
      <iconSet iconSet="3Symbols2">
        <cfvo type="percent" val="0"/>
        <cfvo type="percent" val="33"/>
        <cfvo type="percent" val="67"/>
      </iconSet>
    </cfRule>
  </conditionalFormatting>
  <dataValidations count="1">
    <dataValidation type="whole" allowBlank="1" showInputMessage="1" showErrorMessage="1" error="Interval: min 0; max 100" sqref="B4">
      <formula1>0</formula1>
      <formula2>100</formula2>
    </dataValidation>
  </dataValidation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0"/>
  <sheetViews>
    <sheetView showGridLines="0" workbookViewId="0">
      <selection activeCell="B4" sqref="B4"/>
    </sheetView>
  </sheetViews>
  <sheetFormatPr defaultRowHeight="15" x14ac:dyDescent="0.25"/>
  <cols>
    <col min="1" max="1" width="84.5703125" style="29" customWidth="1"/>
    <col min="2" max="2" width="18.85546875" customWidth="1"/>
    <col min="3" max="3" width="17.85546875" customWidth="1"/>
    <col min="4" max="4" width="13.28515625" customWidth="1"/>
    <col min="7" max="8" width="9.140625" customWidth="1"/>
    <col min="9" max="9" width="9.140625" hidden="1" customWidth="1"/>
    <col min="10" max="10" width="18.5703125" hidden="1" customWidth="1"/>
  </cols>
  <sheetData>
    <row r="1" spans="1:9" s="210" customFormat="1" ht="32.25" customHeight="1" x14ac:dyDescent="0.25">
      <c r="A1" s="209" t="str">
        <f>VLOOKUP(47,Lang!A1:D2628,Lang!L1+1,FALSE)</f>
        <v>B-POP4 - Počet obyvatel</v>
      </c>
      <c r="E1" s="299" t="str">
        <f>VLOOKUP(129,Lang!A1:D2628,Lang!L1+1,FALSE)</f>
        <v>Navigace</v>
      </c>
      <c r="F1" s="300"/>
    </row>
    <row r="2" spans="1:9" ht="28.5" customHeight="1" thickBot="1" x14ac:dyDescent="0.3">
      <c r="A2" s="199" t="str">
        <f>VLOOKUP(130,Lang!A1:D2628,Lang!L1+1,FALSE)</f>
        <v>Metodický list indikátoru</v>
      </c>
      <c r="E2" s="100"/>
      <c r="F2" s="101"/>
    </row>
    <row r="3" spans="1:9" x14ac:dyDescent="0.25">
      <c r="A3" s="200"/>
    </row>
    <row r="4" spans="1:9" x14ac:dyDescent="0.25">
      <c r="A4" s="99" t="str">
        <f>VLOOKUP(136,Lang!A1:D2628,Lang!L1+1,FALSE)</f>
        <v>Počet obyvatel v budově</v>
      </c>
      <c r="B4" s="87"/>
    </row>
    <row r="6" spans="1:9" x14ac:dyDescent="0.25">
      <c r="A6" s="324"/>
    </row>
    <row r="7" spans="1:9" ht="15.75" thickBot="1" x14ac:dyDescent="0.3">
      <c r="I7" t="str">
        <f>+'Identifikace budovy'!I7</f>
        <v>Budova pro bydlení</v>
      </c>
    </row>
    <row r="8" spans="1:9" ht="18" thickBot="1" x14ac:dyDescent="0.35">
      <c r="A8" s="230" t="str">
        <f>VLOOKUP(268,Lang!A$1:D$2628,Lang!L$1+1,FALSE)</f>
        <v>Hodnota pro vložení do Klimaskenu</v>
      </c>
      <c r="B8" s="231" t="str">
        <f>IF('Identifikace budovy'!B7='B-POP4'!I7,IF(OR(B4=0,B4=""),"",B4),VLOOKUP(449,Lang!A1:D2628,Lang!L1+1,FALSE))</f>
        <v>viz níže</v>
      </c>
      <c r="I8" t="str">
        <f>+'Identifikace budovy'!I8</f>
        <v>Mateřská základní, střední a vysoká škola</v>
      </c>
    </row>
    <row r="9" spans="1:9" x14ac:dyDescent="0.25">
      <c r="I9" t="str">
        <f>+'Identifikace budovy'!I9</f>
        <v>Nemocnice</v>
      </c>
    </row>
    <row r="10" spans="1:9" x14ac:dyDescent="0.25">
      <c r="I10" t="str">
        <f>+'Identifikace budovy'!I10</f>
        <v>Poliklinika a ambulance</v>
      </c>
    </row>
    <row r="11" spans="1:9" x14ac:dyDescent="0.25">
      <c r="I11" t="str">
        <f>+'Identifikace budovy'!I11</f>
        <v>Úřad a administrativní budova</v>
      </c>
    </row>
    <row r="12" spans="1:9" x14ac:dyDescent="0.25">
      <c r="A12" s="324" t="str">
        <f>IF('Identifikace budovy'!B7='B-POP4'!I7,"",CONCATENATE('Identifikace budovy'!A7,": ",'Identifikace budovy'!B7))</f>
        <v xml:space="preserve">Účel budovy: </v>
      </c>
      <c r="I12" t="str">
        <f>+'Identifikace budovy'!I12</f>
        <v>Ubytovací zařízení</v>
      </c>
    </row>
    <row r="13" spans="1:9" x14ac:dyDescent="0.25">
      <c r="I13" t="str">
        <f>+'Identifikace budovy'!I13</f>
        <v>Dům seniorů, dětský domov, léčebna</v>
      </c>
    </row>
    <row r="14" spans="1:9" x14ac:dyDescent="0.25">
      <c r="A14" s="323" t="str">
        <f>IF('Identifikace budovy'!B7='B-POP4'!I7,"",VLOOKUP(438,Lang!A1:D2628,Lang!L1+1,FALSE))</f>
        <v xml:space="preserve">Nástroj KLIMASKEN je určen především pro hodnocení bytových domů. Přiměřeně jej lze ale použít také pro hodnocení ostatních druhů budov, které nejsou určené pro bydlení, jako jsou školní, administrativní a jiné budovy. V případě hodnocení takových budov je zapotřebí přepočítat uživatele budovy na efektivní obyvatele (EfO) tak, aby výsledek byl přibližně srovnatelný s bytovým domem. 
</v>
      </c>
      <c r="I14" t="str">
        <f>+'Identifikace budovy'!I14</f>
        <v>Ostatní</v>
      </c>
    </row>
    <row r="15" spans="1:9" x14ac:dyDescent="0.25">
      <c r="A15" s="323"/>
    </row>
    <row r="16" spans="1:9" x14ac:dyDescent="0.25">
      <c r="A16" s="323"/>
    </row>
    <row r="17" spans="1:1" x14ac:dyDescent="0.25">
      <c r="A17" s="323"/>
    </row>
    <row r="18" spans="1:1" x14ac:dyDescent="0.25">
      <c r="A18" s="323"/>
    </row>
    <row r="19" spans="1:1" x14ac:dyDescent="0.25">
      <c r="A19" s="323"/>
    </row>
    <row r="20" spans="1:1" x14ac:dyDescent="0.25">
      <c r="A20" s="28" t="str">
        <f>IF('Identifikace budovy'!B7='B-POP4'!I7,"",VLOOKUP(439,Lang!A1:D2628,Lang!L1+1,FALSE))</f>
        <v>Postup v jednotlivých případech:</v>
      </c>
    </row>
    <row r="21" spans="1:1" ht="180" x14ac:dyDescent="0.25">
      <c r="A21" s="169" t="str">
        <f>IF('Identifikace budovy'!B7='B-POP4'!I7,"",VLOOKUP(440,Lang!A1:D2628,Lang!L1+1,FALSE))</f>
        <v xml:space="preserve">Děti, žáci a studenti v mateřských, základních, středních a na vysokých školách se započítávají jako 0,3 EfO, učitelé a ostatní pracovníci jako 0,5 EfO. V případě nemocnic se započte kapacita lůžkových částí násobená průměrnou denní obložností jako 1,0 EfO, personál jako 0,5 EfO. U poliklinik a ambulancí, tj. zdravotnických zařízení bez lůžkové části, se započte pouze personál jako 0,5 EfO. V úřadech a obdobných administrativních budovách či kancelářských budovách se započtou zaměstnanci jako 0,5 EfO. V ubytovacích zařízeních se započte kapacita lůžek násobená průměrným denním využitím této kapacity jako 0,5 EfO a počet zaměstnanců provozu jako 1,0 EfO. V domech seniorů, dětských domovech, léčebnách a podobně se započte průměrný počet klientů a zaměstnanců jako 1,0 EfO.
Plnou srovnatelnost u různých budov zadávaných do hodnocení různými autory nelze zajistit. U budov, jejichž typ není výše uveden, je třeba postupovat podle vlastního uvážení.
</v>
      </c>
    </row>
    <row r="22" spans="1:1" x14ac:dyDescent="0.25">
      <c r="A22" s="169"/>
    </row>
    <row r="23" spans="1:1" x14ac:dyDescent="0.25">
      <c r="A23" s="169"/>
    </row>
    <row r="24" spans="1:1" x14ac:dyDescent="0.25">
      <c r="A24" s="169"/>
    </row>
    <row r="25" spans="1:1" x14ac:dyDescent="0.25">
      <c r="A25" s="169"/>
    </row>
    <row r="26" spans="1:1" x14ac:dyDescent="0.25">
      <c r="A26" s="169"/>
    </row>
    <row r="27" spans="1:1" x14ac:dyDescent="0.25">
      <c r="A27" s="169"/>
    </row>
    <row r="28" spans="1:1" x14ac:dyDescent="0.25">
      <c r="A28" s="169"/>
    </row>
    <row r="29" spans="1:1" x14ac:dyDescent="0.25">
      <c r="A29" s="169"/>
    </row>
    <row r="30" spans="1:1" x14ac:dyDescent="0.25">
      <c r="A30" s="169"/>
    </row>
  </sheetData>
  <mergeCells count="2">
    <mergeCell ref="E1:F1"/>
    <mergeCell ref="A14:A19"/>
  </mergeCells>
  <conditionalFormatting sqref="B8">
    <cfRule type="iconSet" priority="1">
      <iconSet iconSet="3Symbols2">
        <cfvo type="percent" val="0"/>
        <cfvo type="percent" val="33"/>
        <cfvo type="percent" val="67"/>
      </iconSet>
    </cfRule>
  </conditionalFormatting>
  <dataValidations count="1">
    <dataValidation type="whole" allowBlank="1" showInputMessage="1" showErrorMessage="1" sqref="B4">
      <formula1>1</formula1>
      <formula2>9999</formula2>
    </dataValidation>
  </dataValidations>
  <hyperlinks>
    <hyperlink ref="A12" location="'Identifikace budovy'!B7" display="'Identifikace budovy'!B7"/>
  </hyperlink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
  <sheetViews>
    <sheetView showGridLines="0" workbookViewId="0">
      <selection activeCell="A4" sqref="A4"/>
    </sheetView>
  </sheetViews>
  <sheetFormatPr defaultRowHeight="15" x14ac:dyDescent="0.25"/>
  <cols>
    <col min="1" max="1" width="80.28515625" style="29" customWidth="1"/>
    <col min="2" max="2" width="18.85546875" customWidth="1"/>
    <col min="3" max="3" width="17.85546875" customWidth="1"/>
    <col min="4" max="4" width="13.28515625" customWidth="1"/>
    <col min="7" max="9" width="9.140625" customWidth="1"/>
    <col min="10" max="10" width="18.5703125" hidden="1" customWidth="1"/>
  </cols>
  <sheetData>
    <row r="1" spans="1:6" s="210" customFormat="1" ht="32.25" customHeight="1" x14ac:dyDescent="0.25">
      <c r="A1" s="209" t="str">
        <f>VLOOKUP(48,Lang!A1:D2628,Lang!L1+1,FALSE)</f>
        <v>B-POP5 - Zastavěná plocha</v>
      </c>
      <c r="E1" s="299" t="str">
        <f>VLOOKUP(129,Lang!A1:D2628,Lang!L1+1,FALSE)</f>
        <v>Navigace</v>
      </c>
      <c r="F1" s="300"/>
    </row>
    <row r="2" spans="1:6" ht="28.5" customHeight="1" thickBot="1" x14ac:dyDescent="0.3">
      <c r="A2" s="199" t="str">
        <f>VLOOKUP(130,Lang!A1:D2628,Lang!L1+1,FALSE)</f>
        <v>Metodický list indikátoru</v>
      </c>
      <c r="E2" s="100"/>
      <c r="F2" s="101"/>
    </row>
    <row r="3" spans="1:6" x14ac:dyDescent="0.25">
      <c r="A3" s="200"/>
    </row>
    <row r="4" spans="1:6" x14ac:dyDescent="0.25">
      <c r="A4" s="99" t="str">
        <f>VLOOKUP(137,Lang!A1:D2628,Lang!L1+1,FALSE)</f>
        <v>Zastavěná plocha (m²)</v>
      </c>
      <c r="B4" s="87"/>
    </row>
    <row r="7" spans="1:6" ht="15.75" thickBot="1" x14ac:dyDescent="0.3"/>
    <row r="8" spans="1:6" ht="18" thickBot="1" x14ac:dyDescent="0.35">
      <c r="A8" s="230" t="str">
        <f>VLOOKUP(268,Lang!A$1:D$2628,Lang!L$1+1,FALSE)</f>
        <v>Hodnota pro vložení do Klimaskenu</v>
      </c>
      <c r="B8" s="231" t="str">
        <f>IF(B4=0,"",B4)</f>
        <v/>
      </c>
    </row>
  </sheetData>
  <sheetProtection sheet="1" objects="1" scenarios="1"/>
  <mergeCells count="1">
    <mergeCell ref="E1:F1"/>
  </mergeCells>
  <conditionalFormatting sqref="B8">
    <cfRule type="iconSet" priority="1">
      <iconSet iconSet="3Symbols2">
        <cfvo type="percent" val="0"/>
        <cfvo type="percent" val="33"/>
        <cfvo type="percent" val="67"/>
      </iconSet>
    </cfRule>
  </conditionalFormatting>
  <dataValidations count="1">
    <dataValidation type="decimal" allowBlank="1" showInputMessage="1" showErrorMessage="1" sqref="B4">
      <formula1>1</formula1>
      <formula2>9999999999</formula2>
    </dataValidation>
  </dataValidations>
  <pageMargins left="0.7" right="0.7" top="0.78740157499999996" bottom="0.78740157499999996"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
  <sheetViews>
    <sheetView showGridLines="0" workbookViewId="0">
      <selection activeCell="B4" sqref="B4"/>
    </sheetView>
  </sheetViews>
  <sheetFormatPr defaultRowHeight="15" x14ac:dyDescent="0.25"/>
  <cols>
    <col min="1" max="1" width="99.140625" style="29" customWidth="1"/>
    <col min="2" max="2" width="18.85546875" customWidth="1"/>
    <col min="3" max="3" width="17.85546875" customWidth="1"/>
    <col min="4" max="4" width="13.28515625" customWidth="1"/>
    <col min="7" max="9" width="9.140625" customWidth="1"/>
    <col min="10" max="10" width="18.5703125" hidden="1" customWidth="1"/>
  </cols>
  <sheetData>
    <row r="1" spans="1:6" s="210" customFormat="1" ht="32.25" customHeight="1" x14ac:dyDescent="0.25">
      <c r="A1" s="209" t="str">
        <f>VLOOKUP(49,Lang!A1:D2628,Lang!L1+1,FALSE)</f>
        <v>B-POP6 - Obytná plocha (bytů)</v>
      </c>
      <c r="E1" s="299" t="str">
        <f>VLOOKUP(129,Lang!A1:D2628,Lang!L1+1,FALSE)</f>
        <v>Navigace</v>
      </c>
      <c r="F1" s="300"/>
    </row>
    <row r="2" spans="1:6" ht="28.5" customHeight="1" thickBot="1" x14ac:dyDescent="0.3">
      <c r="A2" s="199" t="str">
        <f>VLOOKUP(130,Lang!A1:D2628,Lang!L1+1,FALSE)</f>
        <v>Metodický list indikátoru</v>
      </c>
      <c r="E2" s="100"/>
      <c r="F2" s="101"/>
    </row>
    <row r="3" spans="1:6" x14ac:dyDescent="0.25">
      <c r="A3" s="200"/>
    </row>
    <row r="4" spans="1:6" x14ac:dyDescent="0.25">
      <c r="A4" s="99" t="str">
        <f>VLOOKUP(138,Lang!A1:D2628,Lang!L1+1,FALSE)</f>
        <v>Obytná plocha bytů (m²)</v>
      </c>
      <c r="B4" s="87"/>
    </row>
    <row r="7" spans="1:6" ht="15.75" thickBot="1" x14ac:dyDescent="0.3"/>
    <row r="8" spans="1:6" ht="18" thickBot="1" x14ac:dyDescent="0.35">
      <c r="A8" s="230" t="str">
        <f>VLOOKUP(268,Lang!A$1:D$2628,Lang!L$1+1,FALSE)</f>
        <v>Hodnota pro vložení do Klimaskenu</v>
      </c>
      <c r="B8" s="231" t="str">
        <f>IF(B4=0,"",B4)</f>
        <v/>
      </c>
    </row>
  </sheetData>
  <sheetProtection sheet="1" objects="1" scenarios="1"/>
  <mergeCells count="1">
    <mergeCell ref="E1:F1"/>
  </mergeCells>
  <conditionalFormatting sqref="B8">
    <cfRule type="iconSet" priority="1">
      <iconSet iconSet="3Symbols2">
        <cfvo type="percent" val="0"/>
        <cfvo type="percent" val="33"/>
        <cfvo type="percent" val="67"/>
      </iconSet>
    </cfRule>
  </conditionalFormatting>
  <dataValidations count="1">
    <dataValidation type="decimal" allowBlank="1" showInputMessage="1" showErrorMessage="1" sqref="B4">
      <formula1>1</formula1>
      <formula2>9999999999</formula2>
    </dataValidation>
  </dataValidation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35</vt:i4>
      </vt:variant>
      <vt:variant>
        <vt:lpstr>Pojmenované oblasti</vt:lpstr>
      </vt:variant>
      <vt:variant>
        <vt:i4>27</vt:i4>
      </vt:variant>
    </vt:vector>
  </HeadingPairs>
  <TitlesOfParts>
    <vt:vector size="62" baseType="lpstr">
      <vt:lpstr>Souhrn</vt:lpstr>
      <vt:lpstr>Lang</vt:lpstr>
      <vt:lpstr>Identifikace budovy</vt:lpstr>
      <vt:lpstr>B-POP1</vt:lpstr>
      <vt:lpstr>B-POP2</vt:lpstr>
      <vt:lpstr>B-POP3</vt:lpstr>
      <vt:lpstr>B-POP4</vt:lpstr>
      <vt:lpstr>B-POP5</vt:lpstr>
      <vt:lpstr>B-POP6</vt:lpstr>
      <vt:lpstr>B-EX1</vt:lpstr>
      <vt:lpstr>B-EX2</vt:lpstr>
      <vt:lpstr>B-EX3</vt:lpstr>
      <vt:lpstr>B-EX4</vt:lpstr>
      <vt:lpstr>B-AD1</vt:lpstr>
      <vt:lpstr>B-AD2</vt:lpstr>
      <vt:lpstr>B-AD3</vt:lpstr>
      <vt:lpstr>B-AD4</vt:lpstr>
      <vt:lpstr>B-AD5</vt:lpstr>
      <vt:lpstr>B-AD6</vt:lpstr>
      <vt:lpstr>B-AD7</vt:lpstr>
      <vt:lpstr>B-AD8</vt:lpstr>
      <vt:lpstr>B-AD9</vt:lpstr>
      <vt:lpstr>B-AD10</vt:lpstr>
      <vt:lpstr>B-GOV1</vt:lpstr>
      <vt:lpstr>B-GOV2</vt:lpstr>
      <vt:lpstr>B-GOV3</vt:lpstr>
      <vt:lpstr>B-GOV4</vt:lpstr>
      <vt:lpstr>Výběr státu</vt:lpstr>
      <vt:lpstr>B-EMI1</vt:lpstr>
      <vt:lpstr>B-EMI2</vt:lpstr>
      <vt:lpstr>B-EMI3</vt:lpstr>
      <vt:lpstr>B-EMI4</vt:lpstr>
      <vt:lpstr>B-EMI5</vt:lpstr>
      <vt:lpstr>B-EMI6</vt:lpstr>
      <vt:lpstr>EF</vt:lpstr>
      <vt:lpstr>'B-GOV2'!_ftn1</vt:lpstr>
      <vt:lpstr>'B-GOV2'!_ftn2</vt:lpstr>
      <vt:lpstr>'B-GOV2'!_ftnref1</vt:lpstr>
      <vt:lpstr>'B-GOV2'!_ftnref2</vt:lpstr>
      <vt:lpstr>ANONE1</vt:lpstr>
      <vt:lpstr>ANONE2</vt:lpstr>
      <vt:lpstr>ANONE3</vt:lpstr>
      <vt:lpstr>ANONECZ</vt:lpstr>
      <vt:lpstr>Flatroof</vt:lpstr>
      <vt:lpstr>PalivoE1_1</vt:lpstr>
      <vt:lpstr>PalivoE1_2</vt:lpstr>
      <vt:lpstr>PalivoE1_3</vt:lpstr>
      <vt:lpstr>Pitchedroof</vt:lpstr>
      <vt:lpstr>Plochástrecha</vt:lpstr>
      <vt:lpstr>Plochástřecha</vt:lpstr>
      <vt:lpstr>Šikmástrecha</vt:lpstr>
      <vt:lpstr>Šikmástřecha</vt:lpstr>
      <vt:lpstr>typst1</vt:lpstr>
      <vt:lpstr>typst2</vt:lpstr>
      <vt:lpstr>typst3</vt:lpstr>
      <vt:lpstr>ZEME1</vt:lpstr>
      <vt:lpstr>ZEME2</vt:lpstr>
      <vt:lpstr>ZEME3</vt:lpstr>
      <vt:lpstr>Zemef_1</vt:lpstr>
      <vt:lpstr>Zemef_2</vt:lpstr>
      <vt:lpstr>Zemef_3</vt:lpstr>
      <vt:lpstr>Zemef1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Mirek Lupač</dc:creator>
  <cp:lastModifiedBy>David Kunssberger</cp:lastModifiedBy>
  <dcterms:created xsi:type="dcterms:W3CDTF">2020-10-07T13:41:53Z</dcterms:created>
  <dcterms:modified xsi:type="dcterms:W3CDTF">2023-06-29T14:11:28Z</dcterms:modified>
</cp:coreProperties>
</file>